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CERRO VERDE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3120" yWindow="3120" windowWidth="21600" windowHeight="11385" firstSheet="1" activeTab="2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CDV_PROY_BT!$A$1:$N$406</definedName>
    <definedName name="_xlnm.Print_Area" localSheetId="2">CDV_PROY_MT!$A$1:$N$112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8" l="1"/>
  <c r="D14" i="8"/>
  <c r="G23" i="8" l="1"/>
  <c r="G24" i="8"/>
  <c r="G25" i="8"/>
  <c r="G26" i="8"/>
  <c r="G27" i="8"/>
  <c r="G28" i="8"/>
  <c r="H13" i="8" l="1"/>
  <c r="F3" i="8"/>
  <c r="H73" i="8" l="1"/>
  <c r="H72" i="8"/>
  <c r="M65" i="8"/>
  <c r="H65" i="8"/>
  <c r="H72" i="4"/>
  <c r="H131" i="4" s="1"/>
  <c r="H189" i="4" s="1"/>
  <c r="H247" i="4" s="1"/>
  <c r="H305" i="4" s="1"/>
  <c r="H363" i="4" s="1"/>
  <c r="H71" i="4"/>
  <c r="H130" i="4" s="1"/>
  <c r="H188" i="4" s="1"/>
  <c r="H246" i="4" s="1"/>
  <c r="H304" i="4" s="1"/>
  <c r="H362" i="4" s="1"/>
  <c r="M64" i="4"/>
  <c r="M123" i="4" s="1"/>
  <c r="M181" i="4" s="1"/>
  <c r="M239" i="4" s="1"/>
  <c r="M297" i="4" s="1"/>
  <c r="M355" i="4" s="1"/>
  <c r="H64" i="4"/>
  <c r="H123" i="4" s="1"/>
  <c r="H181" i="4" s="1"/>
  <c r="H239" i="4" s="1"/>
  <c r="H297" i="4" s="1"/>
  <c r="H355" i="4" s="1"/>
  <c r="Q15" i="4" l="1"/>
  <c r="Q16" i="4" s="1"/>
  <c r="Q14" i="4"/>
  <c r="V103" i="8"/>
  <c r="U103" i="8"/>
  <c r="U104" i="8"/>
  <c r="U49" i="8"/>
  <c r="U50" i="8"/>
  <c r="G49" i="8"/>
  <c r="V49" i="8" s="1"/>
  <c r="K83" i="8"/>
  <c r="K84" i="8"/>
  <c r="K85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N11" i="8"/>
  <c r="J83" i="8" l="1"/>
  <c r="J84" i="8"/>
  <c r="J85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82" i="8" l="1"/>
  <c r="D109" i="8"/>
  <c r="F108" i="8"/>
  <c r="D108" i="8"/>
  <c r="B108" i="8"/>
  <c r="F106" i="8"/>
  <c r="D106" i="8"/>
  <c r="B106" i="8"/>
  <c r="V105" i="8"/>
  <c r="U105" i="8"/>
  <c r="V104" i="8"/>
  <c r="L104" i="8"/>
  <c r="K104" i="8"/>
  <c r="G104" i="8"/>
  <c r="F104" i="8"/>
  <c r="B104" i="8"/>
  <c r="H104" i="8" s="1"/>
  <c r="J104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G82" i="8"/>
  <c r="V82" i="8" s="1"/>
  <c r="M74" i="8"/>
  <c r="N70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08" i="8" l="1"/>
  <c r="J106" i="8"/>
  <c r="H108" i="8"/>
  <c r="H106" i="8"/>
  <c r="L82" i="8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V28" i="8"/>
  <c r="U27" i="8"/>
  <c r="V27" i="8"/>
  <c r="U26" i="8"/>
  <c r="V26" i="8"/>
  <c r="U25" i="8"/>
  <c r="V25" i="8"/>
  <c r="U24" i="8"/>
  <c r="V24" i="8"/>
  <c r="U23" i="8"/>
  <c r="V23" i="8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72" i="4"/>
  <c r="F314" i="4"/>
  <c r="A364" i="4"/>
  <c r="N363" i="4"/>
  <c r="N364" i="4" s="1"/>
  <c r="M364" i="4"/>
  <c r="N358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56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A306" i="4"/>
  <c r="N305" i="4"/>
  <c r="N306" i="4" s="1"/>
  <c r="M306" i="4"/>
  <c r="N300" i="4"/>
  <c r="F198" i="4"/>
  <c r="A248" i="4"/>
  <c r="N247" i="4"/>
  <c r="N246" i="4" s="1"/>
  <c r="M248" i="4"/>
  <c r="N242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140" i="4"/>
  <c r="N189" i="4"/>
  <c r="N188" i="4" s="1"/>
  <c r="A190" i="4"/>
  <c r="M190" i="4"/>
  <c r="N184" i="4"/>
  <c r="N190" i="4" l="1"/>
  <c r="N248" i="4"/>
  <c r="J52" i="8"/>
  <c r="J54" i="8"/>
  <c r="H50" i="8"/>
  <c r="J50" i="8" s="1"/>
  <c r="H54" i="8"/>
  <c r="H52" i="8"/>
  <c r="N14" i="8"/>
  <c r="N362" i="4"/>
  <c r="N304" i="4"/>
  <c r="M24" i="8" l="1"/>
  <c r="N15" i="8"/>
  <c r="M25" i="8" l="1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81" i="4"/>
  <c r="A132" i="4"/>
  <c r="N131" i="4"/>
  <c r="M132" i="4"/>
  <c r="N126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A73" i="4"/>
  <c r="N72" i="4"/>
  <c r="N73" i="4" s="1"/>
  <c r="M73" i="4"/>
  <c r="N67" i="4"/>
  <c r="M26" i="8" l="1"/>
  <c r="N132" i="4"/>
  <c r="N130" i="4"/>
  <c r="N71" i="4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U16" i="3" s="1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T48" i="3"/>
  <c r="W48" i="3" s="1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W72" i="3" s="1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W102" i="3"/>
  <c r="U102" i="3"/>
  <c r="V102" i="3"/>
  <c r="V98" i="3"/>
  <c r="U98" i="3"/>
  <c r="W94" i="3"/>
  <c r="V90" i="3"/>
  <c r="W90" i="3"/>
  <c r="W86" i="3"/>
  <c r="U83" i="3"/>
  <c r="W82" i="3"/>
  <c r="U82" i="3"/>
  <c r="V82" i="3"/>
  <c r="W78" i="3"/>
  <c r="U78" i="3"/>
  <c r="V78" i="3"/>
  <c r="V75" i="3"/>
  <c r="W74" i="3"/>
  <c r="U74" i="3"/>
  <c r="W70" i="3"/>
  <c r="V70" i="3"/>
  <c r="U70" i="3"/>
  <c r="U67" i="3"/>
  <c r="W66" i="3"/>
  <c r="V62" i="3"/>
  <c r="U62" i="3"/>
  <c r="W62" i="3"/>
  <c r="V61" i="3"/>
  <c r="W58" i="3"/>
  <c r="V58" i="3"/>
  <c r="V54" i="3"/>
  <c r="U54" i="3"/>
  <c r="W54" i="3"/>
  <c r="W50" i="3"/>
  <c r="V50" i="3"/>
  <c r="V46" i="3"/>
  <c r="U46" i="3"/>
  <c r="W46" i="3"/>
  <c r="W42" i="3"/>
  <c r="V42" i="3"/>
  <c r="V38" i="3"/>
  <c r="U38" i="3"/>
  <c r="W38" i="3"/>
  <c r="V35" i="3"/>
  <c r="W34" i="3"/>
  <c r="V34" i="3"/>
  <c r="W33" i="3"/>
  <c r="W30" i="3"/>
  <c r="U29" i="3"/>
  <c r="V26" i="3"/>
  <c r="U26" i="3"/>
  <c r="W26" i="3"/>
  <c r="W22" i="3"/>
  <c r="V22" i="3"/>
  <c r="V18" i="3"/>
  <c r="U15" i="3"/>
  <c r="V14" i="3"/>
  <c r="W13" i="3"/>
  <c r="U11" i="3"/>
  <c r="W10" i="3"/>
  <c r="V10" i="3"/>
  <c r="W6" i="3"/>
  <c r="V6" i="3"/>
  <c r="X3" i="3"/>
  <c r="X33" i="3" s="1"/>
  <c r="W80" i="3" l="1"/>
  <c r="X63" i="3"/>
  <c r="X47" i="3"/>
  <c r="U104" i="3"/>
  <c r="U96" i="3"/>
  <c r="X12" i="3"/>
  <c r="U32" i="3"/>
  <c r="U84" i="3"/>
  <c r="V27" i="3"/>
  <c r="U52" i="3"/>
  <c r="V19" i="3"/>
  <c r="U60" i="3"/>
  <c r="U88" i="3"/>
  <c r="U103" i="3"/>
  <c r="M27" i="8"/>
  <c r="M28" i="8" s="1"/>
  <c r="N28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X3" i="2"/>
  <c r="M29" i="8" l="1"/>
  <c r="M30" i="8" s="1"/>
  <c r="F28" i="4"/>
  <c r="F32" i="4"/>
  <c r="F36" i="4"/>
  <c r="F40" i="4"/>
  <c r="F44" i="4"/>
  <c r="F48" i="4"/>
  <c r="F25" i="4"/>
  <c r="F33" i="4"/>
  <c r="F41" i="4"/>
  <c r="F49" i="4"/>
  <c r="F34" i="4"/>
  <c r="F42" i="4"/>
  <c r="F27" i="4"/>
  <c r="F39" i="4"/>
  <c r="F29" i="4"/>
  <c r="F37" i="4"/>
  <c r="F45" i="4"/>
  <c r="F46" i="4"/>
  <c r="N14" i="4"/>
  <c r="F24" i="4"/>
  <c r="F35" i="4"/>
  <c r="F47" i="4"/>
  <c r="F23" i="4"/>
  <c r="F26" i="4"/>
  <c r="F30" i="4"/>
  <c r="F38" i="4"/>
  <c r="F31" i="4"/>
  <c r="F43" i="4"/>
  <c r="M31" i="8" l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N49" i="8" s="1"/>
  <c r="N77" i="8" s="1"/>
  <c r="M82" i="8" s="1"/>
  <c r="M83" i="8" s="1"/>
  <c r="M84" i="8" s="1"/>
  <c r="M85" i="8" s="1"/>
  <c r="N85" i="8" s="1"/>
  <c r="N111" i="8" s="1"/>
  <c r="N13" i="4"/>
  <c r="N15" i="4"/>
  <c r="N57" i="8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W108" i="2"/>
  <c r="U108" i="2"/>
  <c r="V108" i="2"/>
  <c r="X104" i="2"/>
  <c r="W104" i="2"/>
  <c r="U104" i="2"/>
  <c r="V104" i="2"/>
  <c r="X100" i="2"/>
  <c r="W100" i="2"/>
  <c r="U100" i="2"/>
  <c r="V100" i="2"/>
  <c r="X96" i="2"/>
  <c r="W96" i="2"/>
  <c r="U96" i="2"/>
  <c r="V96" i="2"/>
  <c r="X92" i="2"/>
  <c r="W92" i="2"/>
  <c r="U92" i="2"/>
  <c r="V92" i="2"/>
  <c r="X88" i="2"/>
  <c r="W88" i="2"/>
  <c r="U88" i="2"/>
  <c r="V88" i="2"/>
  <c r="X84" i="2"/>
  <c r="W84" i="2"/>
  <c r="U84" i="2"/>
  <c r="V84" i="2"/>
  <c r="X80" i="2"/>
  <c r="W80" i="2"/>
  <c r="U80" i="2"/>
  <c r="V80" i="2"/>
  <c r="X76" i="2"/>
  <c r="W76" i="2"/>
  <c r="U76" i="2"/>
  <c r="V76" i="2"/>
  <c r="X72" i="2"/>
  <c r="W72" i="2"/>
  <c r="U72" i="2"/>
  <c r="V72" i="2"/>
  <c r="X68" i="2"/>
  <c r="W68" i="2"/>
  <c r="U68" i="2"/>
  <c r="V68" i="2"/>
  <c r="X64" i="2"/>
  <c r="W64" i="2"/>
  <c r="U64" i="2"/>
  <c r="V64" i="2"/>
  <c r="X60" i="2"/>
  <c r="W60" i="2"/>
  <c r="U60" i="2"/>
  <c r="V60" i="2"/>
  <c r="X56" i="2"/>
  <c r="W56" i="2"/>
  <c r="U56" i="2"/>
  <c r="V56" i="2"/>
  <c r="X52" i="2"/>
  <c r="W52" i="2"/>
  <c r="U52" i="2"/>
  <c r="V52" i="2"/>
  <c r="X48" i="2"/>
  <c r="W48" i="2"/>
  <c r="U48" i="2"/>
  <c r="V48" i="2"/>
  <c r="X44" i="2"/>
  <c r="V44" i="2"/>
  <c r="W44" i="2"/>
  <c r="U44" i="2"/>
  <c r="X40" i="2"/>
  <c r="W40" i="2"/>
  <c r="U40" i="2"/>
  <c r="V40" i="2"/>
  <c r="X36" i="2"/>
  <c r="W36" i="2"/>
  <c r="U36" i="2"/>
  <c r="V36" i="2"/>
  <c r="X32" i="2"/>
  <c r="V32" i="2"/>
  <c r="W32" i="2"/>
  <c r="U32" i="2"/>
  <c r="X28" i="2"/>
  <c r="W28" i="2"/>
  <c r="U28" i="2"/>
  <c r="V28" i="2"/>
  <c r="X24" i="2"/>
  <c r="V24" i="2"/>
  <c r="W24" i="2"/>
  <c r="U24" i="2"/>
  <c r="X20" i="2"/>
  <c r="W20" i="2"/>
  <c r="U20" i="2"/>
  <c r="V20" i="2"/>
  <c r="X16" i="2"/>
  <c r="V16" i="2"/>
  <c r="W16" i="2"/>
  <c r="U16" i="2"/>
  <c r="X12" i="2"/>
  <c r="W12" i="2"/>
  <c r="U12" i="2"/>
  <c r="V12" i="2"/>
  <c r="X8" i="2"/>
  <c r="V8" i="2"/>
  <c r="W8" i="2"/>
  <c r="U8" i="2"/>
  <c r="X103" i="2"/>
  <c r="W103" i="2"/>
  <c r="U103" i="2"/>
  <c r="V103" i="2"/>
  <c r="X95" i="2"/>
  <c r="W95" i="2"/>
  <c r="U95" i="2"/>
  <c r="V95" i="2"/>
  <c r="X91" i="2"/>
  <c r="W91" i="2"/>
  <c r="U91" i="2"/>
  <c r="V91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107" i="2"/>
  <c r="W107" i="2"/>
  <c r="U107" i="2"/>
  <c r="V107" i="2"/>
  <c r="X99" i="2"/>
  <c r="W99" i="2"/>
  <c r="U99" i="2"/>
  <c r="V99" i="2"/>
  <c r="X87" i="2"/>
  <c r="W87" i="2"/>
  <c r="U87" i="2"/>
  <c r="V87" i="2"/>
  <c r="X106" i="2"/>
  <c r="W106" i="2"/>
  <c r="U106" i="2"/>
  <c r="V106" i="2"/>
  <c r="X102" i="2"/>
  <c r="W102" i="2"/>
  <c r="U102" i="2"/>
  <c r="V102" i="2"/>
  <c r="X98" i="2"/>
  <c r="W98" i="2"/>
  <c r="U98" i="2"/>
  <c r="V98" i="2"/>
  <c r="X94" i="2"/>
  <c r="W94" i="2"/>
  <c r="U94" i="2"/>
  <c r="V94" i="2"/>
  <c r="X90" i="2"/>
  <c r="W90" i="2"/>
  <c r="U90" i="2"/>
  <c r="V90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4" i="2"/>
  <c r="U4" i="2"/>
  <c r="W4" i="2"/>
  <c r="V4" i="2"/>
  <c r="X105" i="2"/>
  <c r="U105" i="2"/>
  <c r="W105" i="2"/>
  <c r="V105" i="2"/>
  <c r="X101" i="2"/>
  <c r="U101" i="2"/>
  <c r="V101" i="2"/>
  <c r="W101" i="2"/>
  <c r="X97" i="2"/>
  <c r="U97" i="2"/>
  <c r="V97" i="2"/>
  <c r="W97" i="2"/>
  <c r="X93" i="2"/>
  <c r="U93" i="2"/>
  <c r="V93" i="2"/>
  <c r="W93" i="2"/>
  <c r="X89" i="2"/>
  <c r="U89" i="2"/>
  <c r="V89" i="2"/>
  <c r="W89" i="2"/>
  <c r="X85" i="2"/>
  <c r="U85" i="2"/>
  <c r="V85" i="2"/>
  <c r="W85" i="2"/>
  <c r="X81" i="2"/>
  <c r="U81" i="2"/>
  <c r="V81" i="2"/>
  <c r="W81" i="2"/>
  <c r="X77" i="2"/>
  <c r="U77" i="2"/>
  <c r="V77" i="2"/>
  <c r="W77" i="2"/>
  <c r="X73" i="2"/>
  <c r="U73" i="2"/>
  <c r="V73" i="2"/>
  <c r="W73" i="2"/>
  <c r="X69" i="2"/>
  <c r="U69" i="2"/>
  <c r="V69" i="2"/>
  <c r="W69" i="2"/>
  <c r="X65" i="2"/>
  <c r="U65" i="2"/>
  <c r="V65" i="2"/>
  <c r="W65" i="2"/>
  <c r="X61" i="2"/>
  <c r="U61" i="2"/>
  <c r="V61" i="2"/>
  <c r="W61" i="2"/>
  <c r="X57" i="2"/>
  <c r="U57" i="2"/>
  <c r="V57" i="2"/>
  <c r="W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K258" i="4"/>
  <c r="K259" i="4"/>
  <c r="L259" i="4" s="1"/>
  <c r="K261" i="4"/>
  <c r="L261" i="4" s="1"/>
  <c r="K262" i="4"/>
  <c r="L262" i="4" s="1"/>
  <c r="K260" i="4"/>
  <c r="L260" i="4" s="1"/>
  <c r="K256" i="4"/>
  <c r="K315" i="4"/>
  <c r="K316" i="4"/>
  <c r="K317" i="4"/>
  <c r="K318" i="4"/>
  <c r="K319" i="4"/>
  <c r="L319" i="4" s="1"/>
  <c r="K314" i="4"/>
  <c r="K373" i="4"/>
  <c r="K374" i="4"/>
  <c r="K376" i="4"/>
  <c r="L376" i="4" s="1"/>
  <c r="K377" i="4"/>
  <c r="L377" i="4" s="1"/>
  <c r="K378" i="4"/>
  <c r="L378" i="4" s="1"/>
  <c r="K375" i="4"/>
  <c r="K372" i="4"/>
  <c r="D404" i="4"/>
  <c r="J403" i="4"/>
  <c r="F403" i="4"/>
  <c r="D403" i="4"/>
  <c r="B403" i="4"/>
  <c r="J401" i="4"/>
  <c r="F401" i="4"/>
  <c r="D401" i="4"/>
  <c r="B401" i="4"/>
  <c r="V400" i="4"/>
  <c r="U400" i="4"/>
  <c r="V399" i="4"/>
  <c r="U399" i="4"/>
  <c r="L399" i="4"/>
  <c r="K399" i="4"/>
  <c r="G399" i="4"/>
  <c r="B399" i="4"/>
  <c r="H399" i="4" s="1"/>
  <c r="J399" i="4" s="1"/>
  <c r="U398" i="4"/>
  <c r="L398" i="4"/>
  <c r="K398" i="4"/>
  <c r="J398" i="4"/>
  <c r="G398" i="4"/>
  <c r="V398" i="4" s="1"/>
  <c r="U397" i="4"/>
  <c r="L397" i="4"/>
  <c r="K397" i="4"/>
  <c r="J397" i="4"/>
  <c r="G397" i="4"/>
  <c r="V397" i="4" s="1"/>
  <c r="U396" i="4"/>
  <c r="L396" i="4"/>
  <c r="K396" i="4"/>
  <c r="J396" i="4"/>
  <c r="G396" i="4"/>
  <c r="V396" i="4" s="1"/>
  <c r="U395" i="4"/>
  <c r="L395" i="4"/>
  <c r="K395" i="4"/>
  <c r="J395" i="4"/>
  <c r="G395" i="4"/>
  <c r="V395" i="4" s="1"/>
  <c r="U394" i="4"/>
  <c r="L394" i="4"/>
  <c r="K394" i="4"/>
  <c r="J394" i="4"/>
  <c r="G394" i="4"/>
  <c r="V394" i="4" s="1"/>
  <c r="U393" i="4"/>
  <c r="L393" i="4"/>
  <c r="K393" i="4"/>
  <c r="J393" i="4"/>
  <c r="G393" i="4"/>
  <c r="V393" i="4" s="1"/>
  <c r="U392" i="4"/>
  <c r="L392" i="4"/>
  <c r="K392" i="4"/>
  <c r="J392" i="4"/>
  <c r="G392" i="4"/>
  <c r="V392" i="4" s="1"/>
  <c r="U391" i="4"/>
  <c r="L391" i="4"/>
  <c r="K391" i="4"/>
  <c r="J391" i="4"/>
  <c r="G391" i="4"/>
  <c r="V391" i="4" s="1"/>
  <c r="U390" i="4"/>
  <c r="L390" i="4"/>
  <c r="K390" i="4"/>
  <c r="J390" i="4"/>
  <c r="G390" i="4"/>
  <c r="V390" i="4" s="1"/>
  <c r="U389" i="4"/>
  <c r="L389" i="4"/>
  <c r="K389" i="4"/>
  <c r="J389" i="4"/>
  <c r="G389" i="4"/>
  <c r="V389" i="4" s="1"/>
  <c r="U388" i="4"/>
  <c r="L388" i="4"/>
  <c r="K388" i="4"/>
  <c r="J388" i="4"/>
  <c r="G388" i="4"/>
  <c r="V388" i="4" s="1"/>
  <c r="U387" i="4"/>
  <c r="L387" i="4"/>
  <c r="K387" i="4"/>
  <c r="J387" i="4"/>
  <c r="G387" i="4"/>
  <c r="V387" i="4" s="1"/>
  <c r="U386" i="4"/>
  <c r="L386" i="4"/>
  <c r="K386" i="4"/>
  <c r="J386" i="4"/>
  <c r="G386" i="4"/>
  <c r="V386" i="4" s="1"/>
  <c r="U385" i="4"/>
  <c r="L385" i="4"/>
  <c r="K385" i="4"/>
  <c r="J385" i="4"/>
  <c r="G385" i="4"/>
  <c r="V385" i="4" s="1"/>
  <c r="U384" i="4"/>
  <c r="L384" i="4"/>
  <c r="K384" i="4"/>
  <c r="J384" i="4"/>
  <c r="G384" i="4"/>
  <c r="V384" i="4" s="1"/>
  <c r="U383" i="4"/>
  <c r="L383" i="4"/>
  <c r="K383" i="4"/>
  <c r="J383" i="4"/>
  <c r="G383" i="4"/>
  <c r="V383" i="4" s="1"/>
  <c r="U382" i="4"/>
  <c r="L382" i="4"/>
  <c r="K382" i="4"/>
  <c r="J382" i="4"/>
  <c r="G382" i="4"/>
  <c r="V382" i="4" s="1"/>
  <c r="U381" i="4"/>
  <c r="L381" i="4"/>
  <c r="K381" i="4"/>
  <c r="J381" i="4"/>
  <c r="G381" i="4"/>
  <c r="V381" i="4" s="1"/>
  <c r="U380" i="4"/>
  <c r="L380" i="4"/>
  <c r="K380" i="4"/>
  <c r="J380" i="4"/>
  <c r="G380" i="4"/>
  <c r="V380" i="4" s="1"/>
  <c r="U379" i="4"/>
  <c r="L379" i="4"/>
  <c r="K379" i="4"/>
  <c r="J379" i="4"/>
  <c r="G379" i="4"/>
  <c r="V379" i="4" s="1"/>
  <c r="U378" i="4"/>
  <c r="J378" i="4"/>
  <c r="G378" i="4"/>
  <c r="V378" i="4" s="1"/>
  <c r="U377" i="4"/>
  <c r="J377" i="4"/>
  <c r="G377" i="4"/>
  <c r="V377" i="4" s="1"/>
  <c r="U376" i="4"/>
  <c r="J376" i="4"/>
  <c r="G376" i="4"/>
  <c r="V376" i="4" s="1"/>
  <c r="U375" i="4"/>
  <c r="J375" i="4"/>
  <c r="G375" i="4"/>
  <c r="V375" i="4" s="1"/>
  <c r="U374" i="4"/>
  <c r="J374" i="4"/>
  <c r="G374" i="4"/>
  <c r="V374" i="4" s="1"/>
  <c r="U373" i="4"/>
  <c r="J373" i="4"/>
  <c r="G373" i="4"/>
  <c r="V373" i="4" s="1"/>
  <c r="U372" i="4"/>
  <c r="J372" i="4"/>
  <c r="G372" i="4"/>
  <c r="V372" i="4" s="1"/>
  <c r="A372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D346" i="4"/>
  <c r="F345" i="4"/>
  <c r="D345" i="4"/>
  <c r="B345" i="4"/>
  <c r="F343" i="4"/>
  <c r="D343" i="4"/>
  <c r="B343" i="4"/>
  <c r="V342" i="4"/>
  <c r="U342" i="4"/>
  <c r="V341" i="4"/>
  <c r="U341" i="4"/>
  <c r="L341" i="4"/>
  <c r="K341" i="4"/>
  <c r="G341" i="4"/>
  <c r="B341" i="4"/>
  <c r="H341" i="4" s="1"/>
  <c r="J341" i="4" s="1"/>
  <c r="U340" i="4"/>
  <c r="L340" i="4"/>
  <c r="K340" i="4"/>
  <c r="J340" i="4"/>
  <c r="G340" i="4"/>
  <c r="V340" i="4" s="1"/>
  <c r="U339" i="4"/>
  <c r="L339" i="4"/>
  <c r="K339" i="4"/>
  <c r="J339" i="4"/>
  <c r="G339" i="4"/>
  <c r="V339" i="4" s="1"/>
  <c r="U338" i="4"/>
  <c r="L338" i="4"/>
  <c r="K338" i="4"/>
  <c r="J338" i="4"/>
  <c r="G338" i="4"/>
  <c r="V338" i="4" s="1"/>
  <c r="U337" i="4"/>
  <c r="L337" i="4"/>
  <c r="K337" i="4"/>
  <c r="J337" i="4"/>
  <c r="G337" i="4"/>
  <c r="V337" i="4" s="1"/>
  <c r="U336" i="4"/>
  <c r="L336" i="4"/>
  <c r="K336" i="4"/>
  <c r="J336" i="4"/>
  <c r="G336" i="4"/>
  <c r="V336" i="4" s="1"/>
  <c r="U335" i="4"/>
  <c r="L335" i="4"/>
  <c r="K335" i="4"/>
  <c r="J335" i="4"/>
  <c r="G335" i="4"/>
  <c r="V335" i="4" s="1"/>
  <c r="U334" i="4"/>
  <c r="L334" i="4"/>
  <c r="K334" i="4"/>
  <c r="J334" i="4"/>
  <c r="G334" i="4"/>
  <c r="V334" i="4" s="1"/>
  <c r="U333" i="4"/>
  <c r="L333" i="4"/>
  <c r="K333" i="4"/>
  <c r="J333" i="4"/>
  <c r="G333" i="4"/>
  <c r="V333" i="4" s="1"/>
  <c r="U332" i="4"/>
  <c r="L332" i="4"/>
  <c r="K332" i="4"/>
  <c r="J332" i="4"/>
  <c r="G332" i="4"/>
  <c r="V332" i="4" s="1"/>
  <c r="U331" i="4"/>
  <c r="L331" i="4"/>
  <c r="K331" i="4"/>
  <c r="J331" i="4"/>
  <c r="G331" i="4"/>
  <c r="V331" i="4" s="1"/>
  <c r="U330" i="4"/>
  <c r="L330" i="4"/>
  <c r="K330" i="4"/>
  <c r="J330" i="4"/>
  <c r="G330" i="4"/>
  <c r="V330" i="4" s="1"/>
  <c r="U329" i="4"/>
  <c r="L329" i="4"/>
  <c r="K329" i="4"/>
  <c r="J329" i="4"/>
  <c r="G329" i="4"/>
  <c r="V329" i="4" s="1"/>
  <c r="U328" i="4"/>
  <c r="L328" i="4"/>
  <c r="K328" i="4"/>
  <c r="J328" i="4"/>
  <c r="G328" i="4"/>
  <c r="V328" i="4" s="1"/>
  <c r="U327" i="4"/>
  <c r="L327" i="4"/>
  <c r="K327" i="4"/>
  <c r="J327" i="4"/>
  <c r="G327" i="4"/>
  <c r="V327" i="4" s="1"/>
  <c r="U326" i="4"/>
  <c r="L326" i="4"/>
  <c r="K326" i="4"/>
  <c r="J326" i="4"/>
  <c r="G326" i="4"/>
  <c r="V326" i="4" s="1"/>
  <c r="U325" i="4"/>
  <c r="L325" i="4"/>
  <c r="K325" i="4"/>
  <c r="J325" i="4"/>
  <c r="G325" i="4"/>
  <c r="V325" i="4" s="1"/>
  <c r="U324" i="4"/>
  <c r="L324" i="4"/>
  <c r="K324" i="4"/>
  <c r="J324" i="4"/>
  <c r="G324" i="4"/>
  <c r="V324" i="4" s="1"/>
  <c r="U323" i="4"/>
  <c r="L323" i="4"/>
  <c r="K323" i="4"/>
  <c r="J323" i="4"/>
  <c r="G323" i="4"/>
  <c r="V323" i="4" s="1"/>
  <c r="U322" i="4"/>
  <c r="L322" i="4"/>
  <c r="K322" i="4"/>
  <c r="J322" i="4"/>
  <c r="G322" i="4"/>
  <c r="V322" i="4" s="1"/>
  <c r="U321" i="4"/>
  <c r="L321" i="4"/>
  <c r="K321" i="4"/>
  <c r="J321" i="4"/>
  <c r="G321" i="4"/>
  <c r="V321" i="4" s="1"/>
  <c r="U320" i="4"/>
  <c r="J320" i="4"/>
  <c r="G320" i="4"/>
  <c r="V320" i="4" s="1"/>
  <c r="K320" i="4"/>
  <c r="L320" i="4" s="1"/>
  <c r="U319" i="4"/>
  <c r="J319" i="4"/>
  <c r="G319" i="4"/>
  <c r="V319" i="4" s="1"/>
  <c r="U318" i="4"/>
  <c r="J318" i="4"/>
  <c r="G318" i="4"/>
  <c r="V318" i="4" s="1"/>
  <c r="U317" i="4"/>
  <c r="J317" i="4"/>
  <c r="G317" i="4"/>
  <c r="V317" i="4" s="1"/>
  <c r="U316" i="4"/>
  <c r="J316" i="4"/>
  <c r="G316" i="4"/>
  <c r="V316" i="4" s="1"/>
  <c r="U315" i="4"/>
  <c r="J315" i="4"/>
  <c r="G315" i="4"/>
  <c r="V315" i="4" s="1"/>
  <c r="U314" i="4"/>
  <c r="J345" i="4" s="1"/>
  <c r="J314" i="4"/>
  <c r="G314" i="4"/>
  <c r="V314" i="4" s="1"/>
  <c r="J343" i="4" s="1"/>
  <c r="A314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K200" i="4"/>
  <c r="K201" i="4"/>
  <c r="K202" i="4"/>
  <c r="L202" i="4" s="1"/>
  <c r="K198" i="4"/>
  <c r="K83" i="4"/>
  <c r="K85" i="4"/>
  <c r="K87" i="4"/>
  <c r="K141" i="4"/>
  <c r="K145" i="4"/>
  <c r="L145" i="4" s="1"/>
  <c r="K146" i="4"/>
  <c r="L146" i="4" s="1"/>
  <c r="K143" i="4"/>
  <c r="L143" i="4" s="1"/>
  <c r="K144" i="4"/>
  <c r="L144" i="4" s="1"/>
  <c r="K140" i="4"/>
  <c r="D288" i="4"/>
  <c r="J287" i="4"/>
  <c r="F287" i="4"/>
  <c r="D287" i="4"/>
  <c r="B287" i="4"/>
  <c r="J285" i="4"/>
  <c r="F285" i="4"/>
  <c r="D285" i="4"/>
  <c r="B285" i="4"/>
  <c r="V284" i="4"/>
  <c r="U284" i="4"/>
  <c r="V283" i="4"/>
  <c r="U283" i="4"/>
  <c r="L283" i="4"/>
  <c r="K283" i="4"/>
  <c r="G283" i="4"/>
  <c r="B283" i="4"/>
  <c r="H283" i="4" s="1"/>
  <c r="J283" i="4" s="1"/>
  <c r="U282" i="4"/>
  <c r="L282" i="4"/>
  <c r="K282" i="4"/>
  <c r="J282" i="4"/>
  <c r="G282" i="4"/>
  <c r="V282" i="4" s="1"/>
  <c r="U281" i="4"/>
  <c r="L281" i="4"/>
  <c r="K281" i="4"/>
  <c r="J281" i="4"/>
  <c r="G281" i="4"/>
  <c r="V281" i="4" s="1"/>
  <c r="U280" i="4"/>
  <c r="L280" i="4"/>
  <c r="K280" i="4"/>
  <c r="J280" i="4"/>
  <c r="G280" i="4"/>
  <c r="V280" i="4" s="1"/>
  <c r="U279" i="4"/>
  <c r="L279" i="4"/>
  <c r="K279" i="4"/>
  <c r="J279" i="4"/>
  <c r="G279" i="4"/>
  <c r="V279" i="4" s="1"/>
  <c r="U278" i="4"/>
  <c r="L278" i="4"/>
  <c r="K278" i="4"/>
  <c r="J278" i="4"/>
  <c r="G278" i="4"/>
  <c r="V278" i="4" s="1"/>
  <c r="U277" i="4"/>
  <c r="L277" i="4"/>
  <c r="K277" i="4"/>
  <c r="J277" i="4"/>
  <c r="G277" i="4"/>
  <c r="V277" i="4" s="1"/>
  <c r="U276" i="4"/>
  <c r="L276" i="4"/>
  <c r="K276" i="4"/>
  <c r="J276" i="4"/>
  <c r="G276" i="4"/>
  <c r="V276" i="4" s="1"/>
  <c r="U275" i="4"/>
  <c r="L275" i="4"/>
  <c r="K275" i="4"/>
  <c r="J275" i="4"/>
  <c r="G275" i="4"/>
  <c r="V275" i="4" s="1"/>
  <c r="U274" i="4"/>
  <c r="L274" i="4"/>
  <c r="K274" i="4"/>
  <c r="J274" i="4"/>
  <c r="G274" i="4"/>
  <c r="V274" i="4" s="1"/>
  <c r="U273" i="4"/>
  <c r="L273" i="4"/>
  <c r="K273" i="4"/>
  <c r="J273" i="4"/>
  <c r="G273" i="4"/>
  <c r="V273" i="4" s="1"/>
  <c r="U272" i="4"/>
  <c r="L272" i="4"/>
  <c r="K272" i="4"/>
  <c r="J272" i="4"/>
  <c r="G272" i="4"/>
  <c r="V272" i="4" s="1"/>
  <c r="U271" i="4"/>
  <c r="L271" i="4"/>
  <c r="K271" i="4"/>
  <c r="J271" i="4"/>
  <c r="G271" i="4"/>
  <c r="V271" i="4" s="1"/>
  <c r="U270" i="4"/>
  <c r="L270" i="4"/>
  <c r="K270" i="4"/>
  <c r="J270" i="4"/>
  <c r="G270" i="4"/>
  <c r="V270" i="4" s="1"/>
  <c r="U269" i="4"/>
  <c r="L269" i="4"/>
  <c r="K269" i="4"/>
  <c r="J269" i="4"/>
  <c r="G269" i="4"/>
  <c r="V269" i="4" s="1"/>
  <c r="U268" i="4"/>
  <c r="L268" i="4"/>
  <c r="K268" i="4"/>
  <c r="J268" i="4"/>
  <c r="G268" i="4"/>
  <c r="V268" i="4" s="1"/>
  <c r="U267" i="4"/>
  <c r="L267" i="4"/>
  <c r="K267" i="4"/>
  <c r="J267" i="4"/>
  <c r="G267" i="4"/>
  <c r="V267" i="4" s="1"/>
  <c r="U266" i="4"/>
  <c r="L266" i="4"/>
  <c r="K266" i="4"/>
  <c r="J266" i="4"/>
  <c r="G266" i="4"/>
  <c r="V266" i="4" s="1"/>
  <c r="U265" i="4"/>
  <c r="L265" i="4"/>
  <c r="K265" i="4"/>
  <c r="J265" i="4"/>
  <c r="G265" i="4"/>
  <c r="V265" i="4" s="1"/>
  <c r="U264" i="4"/>
  <c r="L264" i="4"/>
  <c r="K264" i="4"/>
  <c r="J264" i="4"/>
  <c r="G264" i="4"/>
  <c r="V264" i="4" s="1"/>
  <c r="U263" i="4"/>
  <c r="L263" i="4"/>
  <c r="K263" i="4"/>
  <c r="J263" i="4"/>
  <c r="G263" i="4"/>
  <c r="V263" i="4" s="1"/>
  <c r="U262" i="4"/>
  <c r="J262" i="4"/>
  <c r="G262" i="4"/>
  <c r="V262" i="4" s="1"/>
  <c r="U261" i="4"/>
  <c r="J261" i="4"/>
  <c r="G261" i="4"/>
  <c r="V261" i="4" s="1"/>
  <c r="U260" i="4"/>
  <c r="J260" i="4"/>
  <c r="G260" i="4"/>
  <c r="V260" i="4" s="1"/>
  <c r="U259" i="4"/>
  <c r="J259" i="4"/>
  <c r="G259" i="4"/>
  <c r="V259" i="4" s="1"/>
  <c r="U258" i="4"/>
  <c r="J258" i="4"/>
  <c r="G258" i="4"/>
  <c r="V258" i="4" s="1"/>
  <c r="U257" i="4"/>
  <c r="K257" i="4"/>
  <c r="J257" i="4"/>
  <c r="G257" i="4"/>
  <c r="V257" i="4" s="1"/>
  <c r="U256" i="4"/>
  <c r="J256" i="4"/>
  <c r="G256" i="4"/>
  <c r="V256" i="4" s="1"/>
  <c r="A256" i="4"/>
  <c r="K203" i="4"/>
  <c r="L203" i="4" s="1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D230" i="4"/>
  <c r="F229" i="4"/>
  <c r="D229" i="4"/>
  <c r="B229" i="4"/>
  <c r="F227" i="4"/>
  <c r="D227" i="4"/>
  <c r="B227" i="4"/>
  <c r="V226" i="4"/>
  <c r="U226" i="4"/>
  <c r="V225" i="4"/>
  <c r="U225" i="4"/>
  <c r="L225" i="4"/>
  <c r="K225" i="4"/>
  <c r="G225" i="4"/>
  <c r="B225" i="4"/>
  <c r="H225" i="4" s="1"/>
  <c r="J225" i="4" s="1"/>
  <c r="U224" i="4"/>
  <c r="L224" i="4"/>
  <c r="K224" i="4"/>
  <c r="J224" i="4"/>
  <c r="G224" i="4"/>
  <c r="V224" i="4" s="1"/>
  <c r="U223" i="4"/>
  <c r="L223" i="4"/>
  <c r="K223" i="4"/>
  <c r="J223" i="4"/>
  <c r="G223" i="4"/>
  <c r="V223" i="4" s="1"/>
  <c r="U222" i="4"/>
  <c r="L222" i="4"/>
  <c r="K222" i="4"/>
  <c r="J222" i="4"/>
  <c r="G222" i="4"/>
  <c r="V222" i="4" s="1"/>
  <c r="U221" i="4"/>
  <c r="L221" i="4"/>
  <c r="K221" i="4"/>
  <c r="J221" i="4"/>
  <c r="G221" i="4"/>
  <c r="V221" i="4" s="1"/>
  <c r="U220" i="4"/>
  <c r="L220" i="4"/>
  <c r="K220" i="4"/>
  <c r="J220" i="4"/>
  <c r="G220" i="4"/>
  <c r="V220" i="4" s="1"/>
  <c r="U219" i="4"/>
  <c r="L219" i="4"/>
  <c r="K219" i="4"/>
  <c r="J219" i="4"/>
  <c r="G219" i="4"/>
  <c r="V219" i="4" s="1"/>
  <c r="U218" i="4"/>
  <c r="L218" i="4"/>
  <c r="K218" i="4"/>
  <c r="J218" i="4"/>
  <c r="G218" i="4"/>
  <c r="V218" i="4" s="1"/>
  <c r="U217" i="4"/>
  <c r="L217" i="4"/>
  <c r="K217" i="4"/>
  <c r="J217" i="4"/>
  <c r="G217" i="4"/>
  <c r="V217" i="4" s="1"/>
  <c r="U216" i="4"/>
  <c r="L216" i="4"/>
  <c r="K216" i="4"/>
  <c r="J216" i="4"/>
  <c r="G216" i="4"/>
  <c r="V216" i="4" s="1"/>
  <c r="U215" i="4"/>
  <c r="L215" i="4"/>
  <c r="K215" i="4"/>
  <c r="J215" i="4"/>
  <c r="G215" i="4"/>
  <c r="V215" i="4" s="1"/>
  <c r="U214" i="4"/>
  <c r="L214" i="4"/>
  <c r="K214" i="4"/>
  <c r="J214" i="4"/>
  <c r="G214" i="4"/>
  <c r="V214" i="4" s="1"/>
  <c r="U213" i="4"/>
  <c r="L213" i="4"/>
  <c r="K213" i="4"/>
  <c r="J213" i="4"/>
  <c r="G213" i="4"/>
  <c r="V213" i="4" s="1"/>
  <c r="U212" i="4"/>
  <c r="L212" i="4"/>
  <c r="K212" i="4"/>
  <c r="J212" i="4"/>
  <c r="G212" i="4"/>
  <c r="V212" i="4" s="1"/>
  <c r="U211" i="4"/>
  <c r="L211" i="4"/>
  <c r="K211" i="4"/>
  <c r="J211" i="4"/>
  <c r="G211" i="4"/>
  <c r="V211" i="4" s="1"/>
  <c r="U210" i="4"/>
  <c r="L210" i="4"/>
  <c r="K210" i="4"/>
  <c r="J210" i="4"/>
  <c r="G210" i="4"/>
  <c r="V210" i="4" s="1"/>
  <c r="U209" i="4"/>
  <c r="L209" i="4"/>
  <c r="K209" i="4"/>
  <c r="J209" i="4"/>
  <c r="G209" i="4"/>
  <c r="V209" i="4" s="1"/>
  <c r="U208" i="4"/>
  <c r="L208" i="4"/>
  <c r="K208" i="4"/>
  <c r="J208" i="4"/>
  <c r="G208" i="4"/>
  <c r="V208" i="4" s="1"/>
  <c r="U207" i="4"/>
  <c r="L207" i="4"/>
  <c r="K207" i="4"/>
  <c r="J207" i="4"/>
  <c r="G207" i="4"/>
  <c r="V207" i="4" s="1"/>
  <c r="U206" i="4"/>
  <c r="L206" i="4"/>
  <c r="K206" i="4"/>
  <c r="J206" i="4"/>
  <c r="G206" i="4"/>
  <c r="V206" i="4" s="1"/>
  <c r="U205" i="4"/>
  <c r="L205" i="4"/>
  <c r="K205" i="4"/>
  <c r="J205" i="4"/>
  <c r="G205" i="4"/>
  <c r="V205" i="4" s="1"/>
  <c r="U204" i="4"/>
  <c r="K204" i="4"/>
  <c r="L204" i="4" s="1"/>
  <c r="J204" i="4"/>
  <c r="G204" i="4"/>
  <c r="V204" i="4" s="1"/>
  <c r="U203" i="4"/>
  <c r="J203" i="4"/>
  <c r="G203" i="4"/>
  <c r="V203" i="4" s="1"/>
  <c r="U202" i="4"/>
  <c r="J202" i="4"/>
  <c r="G202" i="4"/>
  <c r="V202" i="4" s="1"/>
  <c r="U201" i="4"/>
  <c r="J201" i="4"/>
  <c r="G201" i="4"/>
  <c r="V201" i="4" s="1"/>
  <c r="U200" i="4"/>
  <c r="J229" i="4" s="1"/>
  <c r="J200" i="4"/>
  <c r="G200" i="4"/>
  <c r="V200" i="4" s="1"/>
  <c r="U199" i="4"/>
  <c r="K199" i="4"/>
  <c r="J199" i="4"/>
  <c r="G199" i="4"/>
  <c r="V199" i="4" s="1"/>
  <c r="U198" i="4"/>
  <c r="J198" i="4"/>
  <c r="G198" i="4"/>
  <c r="V198" i="4" s="1"/>
  <c r="A198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D172" i="4"/>
  <c r="J171" i="4"/>
  <c r="D171" i="4"/>
  <c r="B171" i="4"/>
  <c r="J169" i="4"/>
  <c r="D169" i="4"/>
  <c r="B169" i="4"/>
  <c r="V168" i="4"/>
  <c r="U168" i="4"/>
  <c r="V167" i="4"/>
  <c r="U167" i="4"/>
  <c r="L167" i="4"/>
  <c r="K167" i="4"/>
  <c r="G167" i="4"/>
  <c r="B167" i="4"/>
  <c r="H167" i="4" s="1"/>
  <c r="J167" i="4" s="1"/>
  <c r="U166" i="4"/>
  <c r="L166" i="4"/>
  <c r="K166" i="4"/>
  <c r="J166" i="4"/>
  <c r="G166" i="4"/>
  <c r="V166" i="4" s="1"/>
  <c r="U165" i="4"/>
  <c r="L165" i="4"/>
  <c r="K165" i="4"/>
  <c r="J165" i="4"/>
  <c r="G165" i="4"/>
  <c r="V165" i="4" s="1"/>
  <c r="U164" i="4"/>
  <c r="L164" i="4"/>
  <c r="K164" i="4"/>
  <c r="J164" i="4"/>
  <c r="G164" i="4"/>
  <c r="V164" i="4" s="1"/>
  <c r="U163" i="4"/>
  <c r="L163" i="4"/>
  <c r="K163" i="4"/>
  <c r="J163" i="4"/>
  <c r="G163" i="4"/>
  <c r="V163" i="4" s="1"/>
  <c r="U162" i="4"/>
  <c r="L162" i="4"/>
  <c r="K162" i="4"/>
  <c r="J162" i="4"/>
  <c r="G162" i="4"/>
  <c r="V162" i="4" s="1"/>
  <c r="U161" i="4"/>
  <c r="L161" i="4"/>
  <c r="K161" i="4"/>
  <c r="J161" i="4"/>
  <c r="G161" i="4"/>
  <c r="V161" i="4" s="1"/>
  <c r="U160" i="4"/>
  <c r="L160" i="4"/>
  <c r="K160" i="4"/>
  <c r="J160" i="4"/>
  <c r="G160" i="4"/>
  <c r="V160" i="4" s="1"/>
  <c r="U159" i="4"/>
  <c r="L159" i="4"/>
  <c r="K159" i="4"/>
  <c r="J159" i="4"/>
  <c r="G159" i="4"/>
  <c r="V159" i="4" s="1"/>
  <c r="U158" i="4"/>
  <c r="L158" i="4"/>
  <c r="K158" i="4"/>
  <c r="J158" i="4"/>
  <c r="G158" i="4"/>
  <c r="V158" i="4" s="1"/>
  <c r="U157" i="4"/>
  <c r="L157" i="4"/>
  <c r="K157" i="4"/>
  <c r="J157" i="4"/>
  <c r="G157" i="4"/>
  <c r="V157" i="4" s="1"/>
  <c r="U156" i="4"/>
  <c r="L156" i="4"/>
  <c r="K156" i="4"/>
  <c r="J156" i="4"/>
  <c r="G156" i="4"/>
  <c r="V156" i="4" s="1"/>
  <c r="U155" i="4"/>
  <c r="L155" i="4"/>
  <c r="K155" i="4"/>
  <c r="J155" i="4"/>
  <c r="G155" i="4"/>
  <c r="V155" i="4" s="1"/>
  <c r="U154" i="4"/>
  <c r="L154" i="4"/>
  <c r="K154" i="4"/>
  <c r="J154" i="4"/>
  <c r="G154" i="4"/>
  <c r="V154" i="4" s="1"/>
  <c r="U153" i="4"/>
  <c r="L153" i="4"/>
  <c r="K153" i="4"/>
  <c r="J153" i="4"/>
  <c r="G153" i="4"/>
  <c r="V153" i="4" s="1"/>
  <c r="U152" i="4"/>
  <c r="L152" i="4"/>
  <c r="K152" i="4"/>
  <c r="J152" i="4"/>
  <c r="G152" i="4"/>
  <c r="V152" i="4" s="1"/>
  <c r="U151" i="4"/>
  <c r="L151" i="4"/>
  <c r="K151" i="4"/>
  <c r="J151" i="4"/>
  <c r="G151" i="4"/>
  <c r="V151" i="4" s="1"/>
  <c r="U150" i="4"/>
  <c r="L150" i="4"/>
  <c r="K150" i="4"/>
  <c r="J150" i="4"/>
  <c r="G150" i="4"/>
  <c r="V150" i="4" s="1"/>
  <c r="U149" i="4"/>
  <c r="L149" i="4"/>
  <c r="K149" i="4"/>
  <c r="J149" i="4"/>
  <c r="G149" i="4"/>
  <c r="V149" i="4" s="1"/>
  <c r="U148" i="4"/>
  <c r="L148" i="4"/>
  <c r="K148" i="4"/>
  <c r="J148" i="4"/>
  <c r="G148" i="4"/>
  <c r="V148" i="4" s="1"/>
  <c r="U147" i="4"/>
  <c r="L147" i="4"/>
  <c r="K147" i="4"/>
  <c r="J147" i="4"/>
  <c r="G147" i="4"/>
  <c r="V147" i="4" s="1"/>
  <c r="U146" i="4"/>
  <c r="J146" i="4"/>
  <c r="G146" i="4"/>
  <c r="V146" i="4" s="1"/>
  <c r="U145" i="4"/>
  <c r="J145" i="4"/>
  <c r="G145" i="4"/>
  <c r="V145" i="4" s="1"/>
  <c r="U144" i="4"/>
  <c r="J144" i="4"/>
  <c r="G144" i="4"/>
  <c r="V144" i="4" s="1"/>
  <c r="U143" i="4"/>
  <c r="J143" i="4"/>
  <c r="G143" i="4"/>
  <c r="V143" i="4" s="1"/>
  <c r="U142" i="4"/>
  <c r="K142" i="4"/>
  <c r="L142" i="4" s="1"/>
  <c r="J142" i="4"/>
  <c r="G142" i="4"/>
  <c r="V142" i="4" s="1"/>
  <c r="U141" i="4"/>
  <c r="J141" i="4"/>
  <c r="G141" i="4"/>
  <c r="V141" i="4" s="1"/>
  <c r="U140" i="4"/>
  <c r="J140" i="4"/>
  <c r="G140" i="4"/>
  <c r="V140" i="4" s="1"/>
  <c r="A140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K81" i="4"/>
  <c r="D113" i="4"/>
  <c r="J112" i="4"/>
  <c r="D112" i="4"/>
  <c r="B112" i="4"/>
  <c r="J110" i="4"/>
  <c r="D110" i="4"/>
  <c r="B110" i="4"/>
  <c r="V109" i="4"/>
  <c r="U109" i="4"/>
  <c r="V108" i="4"/>
  <c r="U108" i="4"/>
  <c r="L108" i="4"/>
  <c r="K108" i="4"/>
  <c r="G108" i="4"/>
  <c r="B108" i="4"/>
  <c r="H108" i="4" s="1"/>
  <c r="J108" i="4" s="1"/>
  <c r="U107" i="4"/>
  <c r="L107" i="4"/>
  <c r="K107" i="4"/>
  <c r="J107" i="4"/>
  <c r="G107" i="4"/>
  <c r="V107" i="4" s="1"/>
  <c r="U106" i="4"/>
  <c r="L106" i="4"/>
  <c r="K106" i="4"/>
  <c r="J106" i="4"/>
  <c r="G106" i="4"/>
  <c r="V106" i="4" s="1"/>
  <c r="U105" i="4"/>
  <c r="L105" i="4"/>
  <c r="K105" i="4"/>
  <c r="J105" i="4"/>
  <c r="G105" i="4"/>
  <c r="V105" i="4" s="1"/>
  <c r="U104" i="4"/>
  <c r="L104" i="4"/>
  <c r="K104" i="4"/>
  <c r="J104" i="4"/>
  <c r="G104" i="4"/>
  <c r="V104" i="4" s="1"/>
  <c r="U103" i="4"/>
  <c r="L103" i="4"/>
  <c r="K103" i="4"/>
  <c r="J103" i="4"/>
  <c r="G103" i="4"/>
  <c r="V103" i="4" s="1"/>
  <c r="U102" i="4"/>
  <c r="L102" i="4"/>
  <c r="K102" i="4"/>
  <c r="J102" i="4"/>
  <c r="G102" i="4"/>
  <c r="V102" i="4" s="1"/>
  <c r="U101" i="4"/>
  <c r="L101" i="4"/>
  <c r="K101" i="4"/>
  <c r="J101" i="4"/>
  <c r="G101" i="4"/>
  <c r="V101" i="4" s="1"/>
  <c r="U100" i="4"/>
  <c r="L100" i="4"/>
  <c r="K100" i="4"/>
  <c r="J100" i="4"/>
  <c r="G100" i="4"/>
  <c r="V100" i="4" s="1"/>
  <c r="U99" i="4"/>
  <c r="L99" i="4"/>
  <c r="K99" i="4"/>
  <c r="J99" i="4"/>
  <c r="G99" i="4"/>
  <c r="V99" i="4" s="1"/>
  <c r="U98" i="4"/>
  <c r="L98" i="4"/>
  <c r="K98" i="4"/>
  <c r="J98" i="4"/>
  <c r="G98" i="4"/>
  <c r="V98" i="4" s="1"/>
  <c r="U97" i="4"/>
  <c r="L97" i="4"/>
  <c r="K97" i="4"/>
  <c r="J97" i="4"/>
  <c r="G97" i="4"/>
  <c r="V97" i="4" s="1"/>
  <c r="U96" i="4"/>
  <c r="L96" i="4"/>
  <c r="K96" i="4"/>
  <c r="J96" i="4"/>
  <c r="G96" i="4"/>
  <c r="V96" i="4" s="1"/>
  <c r="U95" i="4"/>
  <c r="L95" i="4"/>
  <c r="K95" i="4"/>
  <c r="J95" i="4"/>
  <c r="G95" i="4"/>
  <c r="V95" i="4" s="1"/>
  <c r="U94" i="4"/>
  <c r="L94" i="4"/>
  <c r="K94" i="4"/>
  <c r="J94" i="4"/>
  <c r="G94" i="4"/>
  <c r="V94" i="4" s="1"/>
  <c r="U93" i="4"/>
  <c r="L93" i="4"/>
  <c r="K93" i="4"/>
  <c r="J93" i="4"/>
  <c r="G93" i="4"/>
  <c r="V93" i="4" s="1"/>
  <c r="U92" i="4"/>
  <c r="L92" i="4"/>
  <c r="K92" i="4"/>
  <c r="J92" i="4"/>
  <c r="G92" i="4"/>
  <c r="V92" i="4" s="1"/>
  <c r="U91" i="4"/>
  <c r="L91" i="4"/>
  <c r="K91" i="4"/>
  <c r="J91" i="4"/>
  <c r="G91" i="4"/>
  <c r="V91" i="4" s="1"/>
  <c r="U90" i="4"/>
  <c r="L90" i="4"/>
  <c r="K90" i="4"/>
  <c r="J90" i="4"/>
  <c r="G90" i="4"/>
  <c r="V90" i="4" s="1"/>
  <c r="U89" i="4"/>
  <c r="L89" i="4"/>
  <c r="K89" i="4"/>
  <c r="J89" i="4"/>
  <c r="G89" i="4"/>
  <c r="V89" i="4" s="1"/>
  <c r="U88" i="4"/>
  <c r="L88" i="4"/>
  <c r="K88" i="4"/>
  <c r="J88" i="4"/>
  <c r="G88" i="4"/>
  <c r="V88" i="4" s="1"/>
  <c r="U87" i="4"/>
  <c r="J87" i="4"/>
  <c r="G87" i="4"/>
  <c r="V87" i="4" s="1"/>
  <c r="U86" i="4"/>
  <c r="J86" i="4"/>
  <c r="G86" i="4"/>
  <c r="V86" i="4" s="1"/>
  <c r="K86" i="4"/>
  <c r="U85" i="4"/>
  <c r="J85" i="4"/>
  <c r="G85" i="4"/>
  <c r="V85" i="4" s="1"/>
  <c r="U84" i="4"/>
  <c r="J84" i="4"/>
  <c r="G84" i="4"/>
  <c r="V84" i="4" s="1"/>
  <c r="K84" i="4"/>
  <c r="U83" i="4"/>
  <c r="J83" i="4"/>
  <c r="G83" i="4"/>
  <c r="V83" i="4" s="1"/>
  <c r="U82" i="4"/>
  <c r="J82" i="4"/>
  <c r="G82" i="4"/>
  <c r="V82" i="4" s="1"/>
  <c r="K82" i="4"/>
  <c r="U81" i="4"/>
  <c r="J81" i="4"/>
  <c r="G81" i="4"/>
  <c r="V81" i="4" s="1"/>
  <c r="A81" i="4"/>
  <c r="M37" i="4"/>
  <c r="M38" i="4"/>
  <c r="M39" i="4"/>
  <c r="M40" i="4"/>
  <c r="M41" i="4"/>
  <c r="M42" i="4"/>
  <c r="M43" i="4"/>
  <c r="M44" i="4"/>
  <c r="M45" i="4"/>
  <c r="M46" i="4"/>
  <c r="M47" i="4"/>
  <c r="M48" i="4"/>
  <c r="F110" i="4" l="1"/>
  <c r="F112" i="4"/>
  <c r="F171" i="4"/>
  <c r="F169" i="4"/>
  <c r="J227" i="4"/>
  <c r="L199" i="4"/>
  <c r="L316" i="4"/>
  <c r="L140" i="4"/>
  <c r="L372" i="4"/>
  <c r="M372" i="4" s="1"/>
  <c r="L315" i="4"/>
  <c r="L257" i="4"/>
  <c r="L141" i="4"/>
  <c r="L198" i="4"/>
  <c r="M198" i="4" s="1"/>
  <c r="L375" i="4"/>
  <c r="L374" i="4"/>
  <c r="L318" i="4"/>
  <c r="L256" i="4"/>
  <c r="M256" i="4" s="1"/>
  <c r="L373" i="4"/>
  <c r="L317" i="4"/>
  <c r="L258" i="4"/>
  <c r="L201" i="4"/>
  <c r="L200" i="4"/>
  <c r="H401" i="4"/>
  <c r="H403" i="4"/>
  <c r="H343" i="4"/>
  <c r="H345" i="4"/>
  <c r="L314" i="4"/>
  <c r="H285" i="4"/>
  <c r="H287" i="4"/>
  <c r="H229" i="4"/>
  <c r="H227" i="4"/>
  <c r="H171" i="4"/>
  <c r="H110" i="4"/>
  <c r="H112" i="4"/>
  <c r="H169" i="4"/>
  <c r="L81" i="4"/>
  <c r="L82" i="4"/>
  <c r="L83" i="4"/>
  <c r="L84" i="4"/>
  <c r="L85" i="4"/>
  <c r="L86" i="4"/>
  <c r="L87" i="4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M199" i="4" l="1"/>
  <c r="M200" i="4" s="1"/>
  <c r="M201" i="4" s="1"/>
  <c r="N201" i="4" s="1"/>
  <c r="M373" i="4"/>
  <c r="N373" i="4" s="1"/>
  <c r="M374" i="4"/>
  <c r="M317" i="4"/>
  <c r="M318" i="4" s="1"/>
  <c r="N256" i="4"/>
  <c r="M202" i="4"/>
  <c r="M203" i="4" s="1"/>
  <c r="M204" i="4" s="1"/>
  <c r="M142" i="4"/>
  <c r="M143" i="4" s="1"/>
  <c r="M144" i="4" s="1"/>
  <c r="M145" i="4" s="1"/>
  <c r="M146" i="4" s="1"/>
  <c r="D54" i="4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M375" i="4" l="1"/>
  <c r="N375" i="4" s="1"/>
  <c r="M376" i="4"/>
  <c r="M377" i="4" s="1"/>
  <c r="M378" i="4" s="1"/>
  <c r="M319" i="4"/>
  <c r="M320" i="4" s="1"/>
  <c r="N318" i="4"/>
  <c r="M259" i="4"/>
  <c r="M260" i="4" s="1"/>
  <c r="M261" i="4" s="1"/>
  <c r="M262" i="4" s="1"/>
  <c r="N232" i="4"/>
  <c r="M83" i="4"/>
  <c r="M84" i="4" s="1"/>
  <c r="M85" i="4" s="1"/>
  <c r="M86" i="4" s="1"/>
  <c r="M87" i="4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23" i="4"/>
  <c r="G23" i="4"/>
  <c r="V23" i="4" s="1"/>
  <c r="N406" i="4" l="1"/>
  <c r="M15" i="7"/>
  <c r="N14" i="7"/>
  <c r="M15" i="6" l="1"/>
  <c r="N15" i="6"/>
  <c r="F51" i="4"/>
  <c r="D51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7" i="4"/>
  <c r="L38" i="4"/>
  <c r="L39" i="4"/>
  <c r="L40" i="4"/>
  <c r="L41" i="4"/>
  <c r="L42" i="4"/>
  <c r="L43" i="4"/>
  <c r="L44" i="4"/>
  <c r="L45" i="4"/>
  <c r="L46" i="4"/>
  <c r="L47" i="4"/>
  <c r="L48" i="4"/>
  <c r="H53" i="4"/>
  <c r="F53" i="4"/>
  <c r="D53" i="4"/>
  <c r="B53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23" i="4"/>
  <c r="B51" i="4"/>
  <c r="V49" i="4"/>
  <c r="V50" i="4"/>
  <c r="U49" i="4"/>
  <c r="U50" i="4"/>
  <c r="J53" i="4"/>
  <c r="L53" i="6" l="1"/>
  <c r="M25" i="6"/>
  <c r="M26" i="6"/>
  <c r="M27" i="6" s="1"/>
  <c r="N58" i="6" l="1"/>
  <c r="B49" i="4" l="1"/>
  <c r="K49" i="4"/>
  <c r="L49" i="4"/>
  <c r="H49" i="4" l="1"/>
  <c r="J49" i="4" s="1"/>
  <c r="K25" i="4" l="1"/>
  <c r="L25" i="4" s="1"/>
  <c r="K24" i="4"/>
  <c r="L24" i="4" s="1"/>
  <c r="K33" i="4"/>
  <c r="L33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4" i="4"/>
  <c r="L34" i="4" s="1"/>
  <c r="K37" i="4"/>
  <c r="K38" i="4"/>
  <c r="K39" i="4"/>
  <c r="K40" i="4"/>
  <c r="K41" i="4"/>
  <c r="K42" i="4"/>
  <c r="K43" i="4"/>
  <c r="K44" i="4"/>
  <c r="K45" i="4"/>
  <c r="K46" i="4"/>
  <c r="K47" i="4"/>
  <c r="K35" i="4"/>
  <c r="L35" i="4" s="1"/>
  <c r="K36" i="4"/>
  <c r="L36" i="4" s="1"/>
  <c r="H51" i="4" l="1"/>
  <c r="Q21" i="4" s="1"/>
  <c r="J51" i="4"/>
  <c r="S21" i="4" s="1"/>
  <c r="K23" i="4"/>
  <c r="L23" i="4" s="1"/>
  <c r="K48" i="4"/>
  <c r="T21" i="4" l="1"/>
  <c r="M257" i="4"/>
  <c r="M258" i="4" s="1"/>
  <c r="N258" i="4" s="1"/>
  <c r="N290" i="4" s="1"/>
  <c r="M82" i="4" l="1"/>
  <c r="N82" i="4" s="1"/>
  <c r="M81" i="4"/>
  <c r="N81" i="4" s="1"/>
  <c r="M141" i="4"/>
  <c r="N141" i="4" s="1"/>
  <c r="M140" i="4"/>
  <c r="N140" i="4" s="1"/>
  <c r="M315" i="4"/>
  <c r="M316" i="4" s="1"/>
  <c r="N316" i="4" s="1"/>
  <c r="M314" i="4"/>
  <c r="N314" i="4" s="1"/>
  <c r="N115" i="4" l="1"/>
  <c r="N174" i="4"/>
  <c r="N348" i="4"/>
  <c r="M26" i="4" l="1"/>
  <c r="M29" i="4" l="1"/>
  <c r="M30" i="4" s="1"/>
  <c r="M31" i="4" s="1"/>
  <c r="M34" i="4" s="1"/>
  <c r="M35" i="4" s="1"/>
  <c r="M36" i="4" s="1"/>
  <c r="N36" i="4" s="1"/>
  <c r="M27" i="4"/>
  <c r="N27" i="4" s="1"/>
  <c r="M28" i="4"/>
  <c r="N28" i="4" s="1"/>
  <c r="M23" i="4"/>
  <c r="M24" i="4" l="1"/>
  <c r="N24" i="4" s="1"/>
  <c r="M32" i="4"/>
  <c r="N32" i="4" s="1"/>
  <c r="M33" i="4"/>
  <c r="N33" i="4" s="1"/>
  <c r="M25" i="4"/>
  <c r="N25" i="4" s="1"/>
  <c r="N56" i="4" l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8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80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39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39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39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39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39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7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97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97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7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7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255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55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55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55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55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13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13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13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13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13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7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7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7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7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7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<sst xmlns="http://schemas.openxmlformats.org/spreadsheetml/2006/main" count="1678" uniqueCount="221">
  <si>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</si>
  <si>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</si>
  <si>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</si>
  <si>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</si>
  <si>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</si>
  <si>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</si>
  <si>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</si>
  <si>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</si>
  <si>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</si>
  <si>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</si>
  <si>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</si>
  <si>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</si>
  <si>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</si>
  <si>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</si>
  <si>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</si>
  <si>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</si>
  <si>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</si>
  <si>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</si>
  <si>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</si>
  <si>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</si>
  <si>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</si>
  <si>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</si>
  <si>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</si>
  <si>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</si>
  <si>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</si>
  <si>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</si>
  <si>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</si>
  <si>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</si>
  <si>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</si>
  <si>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</si>
  <si>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</si>
  <si>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</si>
  <si>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</si>
  <si>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</si>
  <si>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</si>
  <si>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</si>
  <si>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</si>
  <si>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</si>
  <si>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</si>
  <si>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</si>
  <si>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</si>
  <si>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</si>
  <si>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</si>
  <si>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</si>
  <si>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</si>
  <si>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</si>
  <si>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</si>
  <si>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</si>
  <si>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</si>
  <si>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</si>
  <si>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</si>
  <si>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</si>
  <si>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</si>
  <si>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</si>
  <si>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</si>
  <si>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</si>
  <si>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</si>
  <si>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</si>
  <si>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</si>
  <si>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</si>
  <si>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</si>
  <si>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</si>
  <si>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</si>
  <si>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</si>
  <si>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</si>
  <si>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</si>
  <si>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</si>
  <si>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</si>
  <si>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</si>
  <si>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</si>
  <si>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</si>
  <si>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</si>
  <si>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</si>
  <si>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</si>
  <si>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</si>
  <si>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</si>
  <si>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</si>
  <si>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</si>
  <si>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</si>
  <si>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</si>
  <si>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</si>
  <si>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</si>
  <si>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</si>
  <si>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</si>
  <si>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</si>
  <si>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</si>
  <si>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</si>
  <si>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</si>
  <si>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</si>
  <si>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</si>
  <si>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</si>
  <si>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</si>
  <si>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</si>
  <si>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</si>
  <si>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</si>
  <si>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</si>
  <si>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</si>
  <si>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</si>
  <si>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</si>
  <si>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</si>
  <si>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</si>
  <si>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</si>
  <si>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</si>
  <si>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</si>
  <si>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</si>
  <si>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</si>
  <si>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</si>
  <si>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</si>
  <si>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</si>
  <si>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</si>
  <si>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</si>
  <si>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</si>
  <si>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</si>
  <si>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</si>
  <si>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</si>
  <si>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</si>
  <si>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</si>
  <si>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</si>
  <si>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</si>
  <si>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</si>
  <si>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</si>
  <si>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</si>
  <si>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</si>
  <si>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</si>
  <si>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</si>
  <si>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</si>
  <si>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</si>
  <si>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</si>
  <si>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P9</t>
  </si>
  <si>
    <t>T3</t>
  </si>
  <si>
    <t>P18</t>
  </si>
  <si>
    <t>P16</t>
  </si>
  <si>
    <t>T4</t>
  </si>
  <si>
    <t>P19</t>
  </si>
  <si>
    <t>T5</t>
  </si>
  <si>
    <t>P29</t>
  </si>
  <si>
    <t>P8</t>
  </si>
  <si>
    <t>P7</t>
  </si>
  <si>
    <t>T6</t>
  </si>
  <si>
    <t>P31</t>
  </si>
  <si>
    <t>P30</t>
  </si>
  <si>
    <t>P32</t>
  </si>
  <si>
    <t>P33</t>
  </si>
  <si>
    <t>T7</t>
  </si>
  <si>
    <t>P25</t>
  </si>
  <si>
    <t>P23</t>
  </si>
  <si>
    <t>P22</t>
  </si>
  <si>
    <t>P26</t>
  </si>
  <si>
    <t>P27</t>
  </si>
  <si>
    <t>P36</t>
  </si>
  <si>
    <t>P37</t>
  </si>
  <si>
    <t>P38</t>
  </si>
  <si>
    <t>P35</t>
  </si>
  <si>
    <t>P34</t>
  </si>
  <si>
    <t>P40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</si>
  <si>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</si>
  <si>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</si>
  <si>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</si>
  <si>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</si>
  <si>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</si>
  <si>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</si>
  <si>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</si>
  <si>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</si>
  <si>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</si>
  <si>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</si>
  <si>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</si>
  <si>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</si>
  <si>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</si>
  <si>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</si>
  <si>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</si>
  <si>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</si>
  <si>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</si>
  <si>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</si>
  <si>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</si>
  <si>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</si>
  <si>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</si>
  <si>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</si>
  <si>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</si>
  <si>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</si>
  <si>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</si>
  <si>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</si>
  <si>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</si>
  <si>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</si>
  <si>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</si>
  <si>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P24</t>
  </si>
  <si>
    <t>kva x Km</t>
  </si>
  <si>
    <t>CDV-ACUMULADO:</t>
  </si>
  <si>
    <t>T8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</si>
  <si>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</si>
  <si>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</si>
  <si>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</si>
  <si>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</si>
  <si>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</si>
  <si>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</si>
  <si>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</si>
  <si>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4 / 3 DE 8</t>
  </si>
  <si>
    <t>4 / 4 DE 8</t>
  </si>
  <si>
    <t>4 / 5 DE 8</t>
  </si>
  <si>
    <t>4 / 6 DE 8</t>
  </si>
  <si>
    <t>4 / 7 DE 8</t>
  </si>
  <si>
    <t>4 / 8 DE 8</t>
  </si>
  <si>
    <t>P20</t>
  </si>
  <si>
    <t>P28</t>
  </si>
  <si>
    <t xml:space="preserve">   JEFATURA DE PLANIFICACION</t>
  </si>
  <si>
    <t>Jefatura de Planificación</t>
  </si>
  <si>
    <t>CERRO VERDE</t>
  </si>
  <si>
    <t>P45</t>
  </si>
  <si>
    <t>P46</t>
  </si>
  <si>
    <t>P44</t>
  </si>
  <si>
    <t>P14</t>
  </si>
  <si>
    <t>P15</t>
  </si>
  <si>
    <t>P17</t>
  </si>
  <si>
    <t>P21</t>
  </si>
  <si>
    <t>P41</t>
  </si>
  <si>
    <t>P42</t>
  </si>
  <si>
    <t>P43</t>
  </si>
  <si>
    <t>3 / 1 DE 3</t>
  </si>
  <si>
    <t>3 / 2 DE 3</t>
  </si>
  <si>
    <t>3 / 3 DE 3</t>
  </si>
  <si>
    <t xml:space="preserve">  Longitud de red de B.T.:</t>
  </si>
  <si>
    <t xml:space="preserve"> Longitud de red de B.T.: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</si>
</sst>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8" fillId="6" borderId="0" xfId="0" applyFont="1" applyFill="1" applyBorder="1" applyProtection="1">
      <protection hidden="1"/>
    </xf>
    <xf numFmtId="0" fontId="9" fillId="6" borderId="0" xfId="0" applyFont="1" applyFill="1" applyBorder="1" applyAlignment="1" applyProtection="1">
      <alignment horizontal="center"/>
      <protection locked="0" hidden="1"/>
    </xf>
    <xf numFmtId="2" fontId="8" fillId="6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2" fontId="16" fillId="6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20" fillId="6" borderId="15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69</xdr:row>
      <xdr:rowOff>47625</xdr:rowOff>
    </xdr:from>
    <xdr:to>
      <xdr:col>2</xdr:col>
      <xdr:colOff>333375</xdr:colOff>
      <xdr:row>69</xdr:row>
      <xdr:rowOff>123825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285875" y="13992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70</xdr:row>
      <xdr:rowOff>47625</xdr:rowOff>
    </xdr:from>
    <xdr:to>
      <xdr:col>2</xdr:col>
      <xdr:colOff>333375</xdr:colOff>
      <xdr:row>70</xdr:row>
      <xdr:rowOff>123825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285875" y="1419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285875" y="14392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65</xdr:row>
      <xdr:rowOff>28575</xdr:rowOff>
    </xdr:from>
    <xdr:to>
      <xdr:col>2</xdr:col>
      <xdr:colOff>323850</xdr:colOff>
      <xdr:row>65</xdr:row>
      <xdr:rowOff>142875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295400" y="131730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67</xdr:row>
      <xdr:rowOff>66675</xdr:rowOff>
    </xdr:from>
    <xdr:to>
      <xdr:col>2</xdr:col>
      <xdr:colOff>323850</xdr:colOff>
      <xdr:row>67</xdr:row>
      <xdr:rowOff>142875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276350" y="13611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63</xdr:row>
      <xdr:rowOff>47624</xdr:rowOff>
    </xdr:from>
    <xdr:to>
      <xdr:col>2</xdr:col>
      <xdr:colOff>361950</xdr:colOff>
      <xdr:row>63</xdr:row>
      <xdr:rowOff>152399</xdr:rowOff>
    </xdr:to>
    <xdr:sp macro="" textlink="">
      <xdr:nvSpPr>
        <xdr:cNvPr id="27" name="AutoShape 2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276350" y="127920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76</xdr:row>
      <xdr:rowOff>66675</xdr:rowOff>
    </xdr:from>
    <xdr:to>
      <xdr:col>12</xdr:col>
      <xdr:colOff>647700</xdr:colOff>
      <xdr:row>76</xdr:row>
      <xdr:rowOff>142875</xdr:rowOff>
    </xdr:to>
    <xdr:sp macro="" textlink="">
      <xdr:nvSpPr>
        <xdr:cNvPr id="28" name="AutoShape 2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8486775" y="154495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128</xdr:row>
      <xdr:rowOff>47625</xdr:rowOff>
    </xdr:from>
    <xdr:to>
      <xdr:col>2</xdr:col>
      <xdr:colOff>333375</xdr:colOff>
      <xdr:row>128</xdr:row>
      <xdr:rowOff>123825</xdr:rowOff>
    </xdr:to>
    <xdr:sp macro="" textlink="">
      <xdr:nvSpPr>
        <xdr:cNvPr id="30" name="AutoShape 20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285875" y="25431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129</xdr:row>
      <xdr:rowOff>47625</xdr:rowOff>
    </xdr:from>
    <xdr:to>
      <xdr:col>2</xdr:col>
      <xdr:colOff>333375</xdr:colOff>
      <xdr:row>129</xdr:row>
      <xdr:rowOff>123825</xdr:rowOff>
    </xdr:to>
    <xdr:sp macro="" textlink="">
      <xdr:nvSpPr>
        <xdr:cNvPr id="31" name="AutoShape 2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1285875" y="256317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285875" y="258318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124</xdr:row>
      <xdr:rowOff>28575</xdr:rowOff>
    </xdr:from>
    <xdr:to>
      <xdr:col>2</xdr:col>
      <xdr:colOff>323850</xdr:colOff>
      <xdr:row>124</xdr:row>
      <xdr:rowOff>142875</xdr:rowOff>
    </xdr:to>
    <xdr:sp macro="" textlink="">
      <xdr:nvSpPr>
        <xdr:cNvPr id="33" name="AutoShape 2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1295400" y="246126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126</xdr:row>
      <xdr:rowOff>66675</xdr:rowOff>
    </xdr:from>
    <xdr:to>
      <xdr:col>2</xdr:col>
      <xdr:colOff>323850</xdr:colOff>
      <xdr:row>126</xdr:row>
      <xdr:rowOff>142875</xdr:rowOff>
    </xdr:to>
    <xdr:sp macro="" textlink="">
      <xdr:nvSpPr>
        <xdr:cNvPr id="34" name="AutoShape 2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276350" y="25050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126</xdr:row>
      <xdr:rowOff>94130</xdr:rowOff>
    </xdr:from>
    <xdr:to>
      <xdr:col>12</xdr:col>
      <xdr:colOff>476250</xdr:colOff>
      <xdr:row>126</xdr:row>
      <xdr:rowOff>170330</xdr:rowOff>
    </xdr:to>
    <xdr:sp macro="" textlink="">
      <xdr:nvSpPr>
        <xdr:cNvPr id="35" name="AutoShape 2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330453" y="3705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122</xdr:row>
      <xdr:rowOff>47624</xdr:rowOff>
    </xdr:from>
    <xdr:to>
      <xdr:col>2</xdr:col>
      <xdr:colOff>361950</xdr:colOff>
      <xdr:row>122</xdr:row>
      <xdr:rowOff>152399</xdr:rowOff>
    </xdr:to>
    <xdr:sp macro="" textlink="">
      <xdr:nvSpPr>
        <xdr:cNvPr id="36" name="AutoShape 2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276350" y="242315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135</xdr:row>
      <xdr:rowOff>66675</xdr:rowOff>
    </xdr:from>
    <xdr:to>
      <xdr:col>12</xdr:col>
      <xdr:colOff>647700</xdr:colOff>
      <xdr:row>135</xdr:row>
      <xdr:rowOff>142875</xdr:rowOff>
    </xdr:to>
    <xdr:sp macro="" textlink="">
      <xdr:nvSpPr>
        <xdr:cNvPr id="37" name="AutoShape 25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8486775" y="268890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186</xdr:row>
      <xdr:rowOff>47625</xdr:rowOff>
    </xdr:from>
    <xdr:to>
      <xdr:col>2</xdr:col>
      <xdr:colOff>333375</xdr:colOff>
      <xdr:row>186</xdr:row>
      <xdr:rowOff>123825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1285875" y="36871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187</xdr:row>
      <xdr:rowOff>47625</xdr:rowOff>
    </xdr:from>
    <xdr:to>
      <xdr:col>2</xdr:col>
      <xdr:colOff>333375</xdr:colOff>
      <xdr:row>187</xdr:row>
      <xdr:rowOff>123825</xdr:rowOff>
    </xdr:to>
    <xdr:sp macro="" textlink="">
      <xdr:nvSpPr>
        <xdr:cNvPr id="40" name="AutoShape 2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1285875" y="37071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41" name="AutoShape 22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1285875" y="37271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182</xdr:row>
      <xdr:rowOff>28575</xdr:rowOff>
    </xdr:from>
    <xdr:to>
      <xdr:col>2</xdr:col>
      <xdr:colOff>323850</xdr:colOff>
      <xdr:row>182</xdr:row>
      <xdr:rowOff>142875</xdr:rowOff>
    </xdr:to>
    <xdr:sp macro="" textlink="">
      <xdr:nvSpPr>
        <xdr:cNvPr id="42" name="AutoShape 2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1295400" y="360521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184</xdr:row>
      <xdr:rowOff>66675</xdr:rowOff>
    </xdr:from>
    <xdr:to>
      <xdr:col>2</xdr:col>
      <xdr:colOff>323850</xdr:colOff>
      <xdr:row>184</xdr:row>
      <xdr:rowOff>142875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1276350" y="36490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184</xdr:row>
      <xdr:rowOff>71718</xdr:rowOff>
    </xdr:from>
    <xdr:to>
      <xdr:col>12</xdr:col>
      <xdr:colOff>476250</xdr:colOff>
      <xdr:row>184</xdr:row>
      <xdr:rowOff>147918</xdr:rowOff>
    </xdr:to>
    <xdr:sp macro="" textlink="">
      <xdr:nvSpPr>
        <xdr:cNvPr id="44" name="AutoShape 25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8330453" y="4848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180</xdr:row>
      <xdr:rowOff>47624</xdr:rowOff>
    </xdr:from>
    <xdr:to>
      <xdr:col>2</xdr:col>
      <xdr:colOff>361950</xdr:colOff>
      <xdr:row>180</xdr:row>
      <xdr:rowOff>152399</xdr:rowOff>
    </xdr:to>
    <xdr:sp macro="" textlink="">
      <xdr:nvSpPr>
        <xdr:cNvPr id="45" name="AutoShape 2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1276350" y="356711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193</xdr:row>
      <xdr:rowOff>66675</xdr:rowOff>
    </xdr:from>
    <xdr:to>
      <xdr:col>12</xdr:col>
      <xdr:colOff>647700</xdr:colOff>
      <xdr:row>193</xdr:row>
      <xdr:rowOff>142875</xdr:rowOff>
    </xdr:to>
    <xdr:sp macro="" textlink="">
      <xdr:nvSpPr>
        <xdr:cNvPr id="46" name="AutoShape 2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8486775" y="38328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244</xdr:row>
      <xdr:rowOff>47625</xdr:rowOff>
    </xdr:from>
    <xdr:to>
      <xdr:col>2</xdr:col>
      <xdr:colOff>333375</xdr:colOff>
      <xdr:row>244</xdr:row>
      <xdr:rowOff>123825</xdr:rowOff>
    </xdr:to>
    <xdr:sp macro="" textlink="">
      <xdr:nvSpPr>
        <xdr:cNvPr id="48" name="AutoShape 20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1285875" y="48120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245</xdr:row>
      <xdr:rowOff>47625</xdr:rowOff>
    </xdr:from>
    <xdr:to>
      <xdr:col>2</xdr:col>
      <xdr:colOff>333375</xdr:colOff>
      <xdr:row>245</xdr:row>
      <xdr:rowOff>123825</xdr:rowOff>
    </xdr:to>
    <xdr:sp macro="" textlink="">
      <xdr:nvSpPr>
        <xdr:cNvPr id="49" name="AutoShape 2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1285875" y="48320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246</xdr:row>
      <xdr:rowOff>47625</xdr:rowOff>
    </xdr:from>
    <xdr:to>
      <xdr:col>2</xdr:col>
      <xdr:colOff>333375</xdr:colOff>
      <xdr:row>246</xdr:row>
      <xdr:rowOff>123825</xdr:rowOff>
    </xdr:to>
    <xdr:sp macro="" textlink="">
      <xdr:nvSpPr>
        <xdr:cNvPr id="50" name="AutoShape 22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285875" y="48520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240</xdr:row>
      <xdr:rowOff>28575</xdr:rowOff>
    </xdr:from>
    <xdr:to>
      <xdr:col>2</xdr:col>
      <xdr:colOff>323850</xdr:colOff>
      <xdr:row>240</xdr:row>
      <xdr:rowOff>142875</xdr:rowOff>
    </xdr:to>
    <xdr:sp macro="" textlink="">
      <xdr:nvSpPr>
        <xdr:cNvPr id="51" name="AutoShape 2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1295400" y="4730115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242</xdr:row>
      <xdr:rowOff>66675</xdr:rowOff>
    </xdr:from>
    <xdr:to>
      <xdr:col>2</xdr:col>
      <xdr:colOff>323850</xdr:colOff>
      <xdr:row>242</xdr:row>
      <xdr:rowOff>142875</xdr:rowOff>
    </xdr:to>
    <xdr:sp macro="" textlink="">
      <xdr:nvSpPr>
        <xdr:cNvPr id="52" name="AutoShape 24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1276350" y="47739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242</xdr:row>
      <xdr:rowOff>94130</xdr:rowOff>
    </xdr:from>
    <xdr:to>
      <xdr:col>12</xdr:col>
      <xdr:colOff>476250</xdr:colOff>
      <xdr:row>242</xdr:row>
      <xdr:rowOff>170330</xdr:rowOff>
    </xdr:to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8330453" y="6002318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238</xdr:row>
      <xdr:rowOff>47624</xdr:rowOff>
    </xdr:from>
    <xdr:to>
      <xdr:col>2</xdr:col>
      <xdr:colOff>361950</xdr:colOff>
      <xdr:row>238</xdr:row>
      <xdr:rowOff>152399</xdr:rowOff>
    </xdr:to>
    <xdr:sp macro="" textlink="">
      <xdr:nvSpPr>
        <xdr:cNvPr id="54" name="AutoShape 2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276350" y="4692014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251</xdr:row>
      <xdr:rowOff>66675</xdr:rowOff>
    </xdr:from>
    <xdr:to>
      <xdr:col>12</xdr:col>
      <xdr:colOff>647700</xdr:colOff>
      <xdr:row>251</xdr:row>
      <xdr:rowOff>142875</xdr:rowOff>
    </xdr:to>
    <xdr:sp macro="" textlink="">
      <xdr:nvSpPr>
        <xdr:cNvPr id="55" name="AutoShape 25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486775" y="49577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302</xdr:row>
      <xdr:rowOff>47625</xdr:rowOff>
    </xdr:from>
    <xdr:to>
      <xdr:col>2</xdr:col>
      <xdr:colOff>333375</xdr:colOff>
      <xdr:row>302</xdr:row>
      <xdr:rowOff>123825</xdr:rowOff>
    </xdr:to>
    <xdr:sp macro="" textlink="">
      <xdr:nvSpPr>
        <xdr:cNvPr id="57" name="AutoShape 20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285875" y="59369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303</xdr:row>
      <xdr:rowOff>47625</xdr:rowOff>
    </xdr:from>
    <xdr:to>
      <xdr:col>2</xdr:col>
      <xdr:colOff>333375</xdr:colOff>
      <xdr:row>303</xdr:row>
      <xdr:rowOff>123825</xdr:rowOff>
    </xdr:to>
    <xdr:sp macro="" textlink="">
      <xdr:nvSpPr>
        <xdr:cNvPr id="58" name="AutoShape 2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285875" y="59569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304</xdr:row>
      <xdr:rowOff>47625</xdr:rowOff>
    </xdr:from>
    <xdr:to>
      <xdr:col>2</xdr:col>
      <xdr:colOff>333375</xdr:colOff>
      <xdr:row>304</xdr:row>
      <xdr:rowOff>123825</xdr:rowOff>
    </xdr:to>
    <xdr:sp macro="" textlink="">
      <xdr:nvSpPr>
        <xdr:cNvPr id="59" name="AutoShape 22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1285875" y="59769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298</xdr:row>
      <xdr:rowOff>28575</xdr:rowOff>
    </xdr:from>
    <xdr:to>
      <xdr:col>2</xdr:col>
      <xdr:colOff>323850</xdr:colOff>
      <xdr:row>298</xdr:row>
      <xdr:rowOff>142875</xdr:rowOff>
    </xdr:to>
    <xdr:sp macro="" textlink="">
      <xdr:nvSpPr>
        <xdr:cNvPr id="60" name="AutoShape 2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1295400" y="585501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300</xdr:row>
      <xdr:rowOff>66675</xdr:rowOff>
    </xdr:from>
    <xdr:to>
      <xdr:col>2</xdr:col>
      <xdr:colOff>323850</xdr:colOff>
      <xdr:row>300</xdr:row>
      <xdr:rowOff>142875</xdr:rowOff>
    </xdr:to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1276350" y="58988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300</xdr:row>
      <xdr:rowOff>82924</xdr:rowOff>
    </xdr:from>
    <xdr:to>
      <xdr:col>12</xdr:col>
      <xdr:colOff>476250</xdr:colOff>
      <xdr:row>300</xdr:row>
      <xdr:rowOff>159124</xdr:rowOff>
    </xdr:to>
    <xdr:sp macro="" textlink="">
      <xdr:nvSpPr>
        <xdr:cNvPr id="62" name="AutoShape 25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8330453" y="716324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296</xdr:row>
      <xdr:rowOff>47624</xdr:rowOff>
    </xdr:from>
    <xdr:to>
      <xdr:col>2</xdr:col>
      <xdr:colOff>361950</xdr:colOff>
      <xdr:row>296</xdr:row>
      <xdr:rowOff>152399</xdr:rowOff>
    </xdr:to>
    <xdr:sp macro="" textlink="">
      <xdr:nvSpPr>
        <xdr:cNvPr id="63" name="AutoShape 2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276350" y="581691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309</xdr:row>
      <xdr:rowOff>66675</xdr:rowOff>
    </xdr:from>
    <xdr:to>
      <xdr:col>12</xdr:col>
      <xdr:colOff>647700</xdr:colOff>
      <xdr:row>309</xdr:row>
      <xdr:rowOff>142875</xdr:rowOff>
    </xdr:to>
    <xdr:sp macro="" textlink="">
      <xdr:nvSpPr>
        <xdr:cNvPr id="64" name="AutoShape 25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8486775" y="608266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360</xdr:row>
      <xdr:rowOff>47625</xdr:rowOff>
    </xdr:from>
    <xdr:to>
      <xdr:col>2</xdr:col>
      <xdr:colOff>333375</xdr:colOff>
      <xdr:row>360</xdr:row>
      <xdr:rowOff>123825</xdr:rowOff>
    </xdr:to>
    <xdr:sp macro="" textlink="">
      <xdr:nvSpPr>
        <xdr:cNvPr id="66" name="AutoShape 20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1285875" y="70618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361</xdr:row>
      <xdr:rowOff>47625</xdr:rowOff>
    </xdr:from>
    <xdr:to>
      <xdr:col>2</xdr:col>
      <xdr:colOff>333375</xdr:colOff>
      <xdr:row>361</xdr:row>
      <xdr:rowOff>123825</xdr:rowOff>
    </xdr:to>
    <xdr:sp macro="" textlink="">
      <xdr:nvSpPr>
        <xdr:cNvPr id="67" name="AutoShape 2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1285875" y="70818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362</xdr:row>
      <xdr:rowOff>47625</xdr:rowOff>
    </xdr:from>
    <xdr:to>
      <xdr:col>2</xdr:col>
      <xdr:colOff>333375</xdr:colOff>
      <xdr:row>362</xdr:row>
      <xdr:rowOff>123825</xdr:rowOff>
    </xdr:to>
    <xdr:sp macro="" textlink="">
      <xdr:nvSpPr>
        <xdr:cNvPr id="68" name="AutoShape 22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1285875" y="7101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356</xdr:row>
      <xdr:rowOff>28575</xdr:rowOff>
    </xdr:from>
    <xdr:to>
      <xdr:col>2</xdr:col>
      <xdr:colOff>323850</xdr:colOff>
      <xdr:row>356</xdr:row>
      <xdr:rowOff>142875</xdr:rowOff>
    </xdr:to>
    <xdr:sp macro="" textlink="">
      <xdr:nvSpPr>
        <xdr:cNvPr id="69" name="AutoShape 2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1295400" y="697992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358</xdr:row>
      <xdr:rowOff>66675</xdr:rowOff>
    </xdr:from>
    <xdr:to>
      <xdr:col>2</xdr:col>
      <xdr:colOff>323850</xdr:colOff>
      <xdr:row>358</xdr:row>
      <xdr:rowOff>142875</xdr:rowOff>
    </xdr:to>
    <xdr:sp macro="" textlink="">
      <xdr:nvSpPr>
        <xdr:cNvPr id="70" name="AutoShape 2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1276350" y="70237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358</xdr:row>
      <xdr:rowOff>94130</xdr:rowOff>
    </xdr:from>
    <xdr:to>
      <xdr:col>12</xdr:col>
      <xdr:colOff>476250</xdr:colOff>
      <xdr:row>358</xdr:row>
      <xdr:rowOff>170330</xdr:rowOff>
    </xdr:to>
    <xdr:sp macro="" textlink="">
      <xdr:nvSpPr>
        <xdr:cNvPr id="71" name="AutoShape 25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8330453" y="832529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354</xdr:row>
      <xdr:rowOff>47624</xdr:rowOff>
    </xdr:from>
    <xdr:to>
      <xdr:col>2</xdr:col>
      <xdr:colOff>361950</xdr:colOff>
      <xdr:row>354</xdr:row>
      <xdr:rowOff>152399</xdr:rowOff>
    </xdr:to>
    <xdr:sp macro="" textlink="">
      <xdr:nvSpPr>
        <xdr:cNvPr id="72" name="AutoShape 2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1276350" y="694181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367</xdr:row>
      <xdr:rowOff>66675</xdr:rowOff>
    </xdr:from>
    <xdr:to>
      <xdr:col>12</xdr:col>
      <xdr:colOff>647700</xdr:colOff>
      <xdr:row>367</xdr:row>
      <xdr:rowOff>142875</xdr:rowOff>
    </xdr:to>
    <xdr:sp macro="" textlink="">
      <xdr:nvSpPr>
        <xdr:cNvPr id="73" name="AutoShape 25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8486775" y="720756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66</xdr:row>
      <xdr:rowOff>79000</xdr:rowOff>
    </xdr:from>
    <xdr:to>
      <xdr:col>12</xdr:col>
      <xdr:colOff>476812</xdr:colOff>
      <xdr:row>66</xdr:row>
      <xdr:rowOff>155200</xdr:rowOff>
    </xdr:to>
    <xdr:sp macro="" textlink="">
      <xdr:nvSpPr>
        <xdr:cNvPr id="90" name="AutoShape 25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8331015" y="134588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68</xdr:row>
      <xdr:rowOff>78442</xdr:rowOff>
    </xdr:from>
    <xdr:to>
      <xdr:col>12</xdr:col>
      <xdr:colOff>471766</xdr:colOff>
      <xdr:row>68</xdr:row>
      <xdr:rowOff>154642</xdr:rowOff>
    </xdr:to>
    <xdr:sp macro="" textlink="">
      <xdr:nvSpPr>
        <xdr:cNvPr id="91" name="AutoShape 25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8325969" y="138616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65</xdr:row>
      <xdr:rowOff>74514</xdr:rowOff>
    </xdr:from>
    <xdr:to>
      <xdr:col>12</xdr:col>
      <xdr:colOff>528358</xdr:colOff>
      <xdr:row>65</xdr:row>
      <xdr:rowOff>150714</xdr:rowOff>
    </xdr:to>
    <xdr:sp macro="" textlink="">
      <xdr:nvSpPr>
        <xdr:cNvPr id="92" name="AutoShape 25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67</xdr:row>
      <xdr:rowOff>116542</xdr:rowOff>
    </xdr:from>
    <xdr:to>
      <xdr:col>12</xdr:col>
      <xdr:colOff>476250</xdr:colOff>
      <xdr:row>67</xdr:row>
      <xdr:rowOff>192742</xdr:rowOff>
    </xdr:to>
    <xdr:sp macro="" textlink="">
      <xdr:nvSpPr>
        <xdr:cNvPr id="93" name="AutoShape 25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8330453" y="2531857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65</xdr:row>
      <xdr:rowOff>74514</xdr:rowOff>
    </xdr:from>
    <xdr:to>
      <xdr:col>12</xdr:col>
      <xdr:colOff>528358</xdr:colOff>
      <xdr:row>65</xdr:row>
      <xdr:rowOff>150714</xdr:rowOff>
    </xdr:to>
    <xdr:sp macro="" textlink="">
      <xdr:nvSpPr>
        <xdr:cNvPr id="96" name="AutoShape 2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125</xdr:row>
      <xdr:rowOff>79000</xdr:rowOff>
    </xdr:from>
    <xdr:to>
      <xdr:col>12</xdr:col>
      <xdr:colOff>476812</xdr:colOff>
      <xdr:row>125</xdr:row>
      <xdr:rowOff>155200</xdr:rowOff>
    </xdr:to>
    <xdr:sp macro="" textlink="">
      <xdr:nvSpPr>
        <xdr:cNvPr id="97" name="AutoShape 25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8331015" y="250793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127</xdr:row>
      <xdr:rowOff>78442</xdr:rowOff>
    </xdr:from>
    <xdr:to>
      <xdr:col>12</xdr:col>
      <xdr:colOff>471766</xdr:colOff>
      <xdr:row>127</xdr:row>
      <xdr:rowOff>154642</xdr:rowOff>
    </xdr:to>
    <xdr:sp macro="" textlink="">
      <xdr:nvSpPr>
        <xdr:cNvPr id="98" name="AutoShape 25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8325969" y="254821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124</xdr:row>
      <xdr:rowOff>74514</xdr:rowOff>
    </xdr:from>
    <xdr:to>
      <xdr:col>12</xdr:col>
      <xdr:colOff>528358</xdr:colOff>
      <xdr:row>124</xdr:row>
      <xdr:rowOff>150714</xdr:rowOff>
    </xdr:to>
    <xdr:sp macro="" textlink="">
      <xdr:nvSpPr>
        <xdr:cNvPr id="99" name="AutoShape 2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124</xdr:row>
      <xdr:rowOff>74514</xdr:rowOff>
    </xdr:from>
    <xdr:to>
      <xdr:col>12</xdr:col>
      <xdr:colOff>528358</xdr:colOff>
      <xdr:row>124</xdr:row>
      <xdr:rowOff>150714</xdr:rowOff>
    </xdr:to>
    <xdr:sp macro="" textlink="">
      <xdr:nvSpPr>
        <xdr:cNvPr id="101" name="AutoShape 25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183</xdr:row>
      <xdr:rowOff>79000</xdr:rowOff>
    </xdr:from>
    <xdr:to>
      <xdr:col>12</xdr:col>
      <xdr:colOff>476812</xdr:colOff>
      <xdr:row>183</xdr:row>
      <xdr:rowOff>155200</xdr:rowOff>
    </xdr:to>
    <xdr:sp macro="" textlink="">
      <xdr:nvSpPr>
        <xdr:cNvPr id="120" name="AutoShape 25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8331015" y="3683429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185</xdr:row>
      <xdr:rowOff>78442</xdr:rowOff>
    </xdr:from>
    <xdr:to>
      <xdr:col>12</xdr:col>
      <xdr:colOff>471766</xdr:colOff>
      <xdr:row>185</xdr:row>
      <xdr:rowOff>154642</xdr:rowOff>
    </xdr:to>
    <xdr:sp macro="" textlink="">
      <xdr:nvSpPr>
        <xdr:cNvPr id="121" name="AutoShape 25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325969" y="3723714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182</xdr:row>
      <xdr:rowOff>74514</xdr:rowOff>
    </xdr:from>
    <xdr:to>
      <xdr:col>12</xdr:col>
      <xdr:colOff>528358</xdr:colOff>
      <xdr:row>182</xdr:row>
      <xdr:rowOff>150714</xdr:rowOff>
    </xdr:to>
    <xdr:sp macro="" textlink="">
      <xdr:nvSpPr>
        <xdr:cNvPr id="122" name="AutoShape 25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182</xdr:row>
      <xdr:rowOff>74514</xdr:rowOff>
    </xdr:from>
    <xdr:to>
      <xdr:col>12</xdr:col>
      <xdr:colOff>528358</xdr:colOff>
      <xdr:row>182</xdr:row>
      <xdr:rowOff>150714</xdr:rowOff>
    </xdr:to>
    <xdr:sp macro="" textlink="">
      <xdr:nvSpPr>
        <xdr:cNvPr id="123" name="AutoShape 25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241</xdr:row>
      <xdr:rowOff>90206</xdr:rowOff>
    </xdr:from>
    <xdr:to>
      <xdr:col>12</xdr:col>
      <xdr:colOff>476812</xdr:colOff>
      <xdr:row>241</xdr:row>
      <xdr:rowOff>166406</xdr:rowOff>
    </xdr:to>
    <xdr:sp macro="" textlink="">
      <xdr:nvSpPr>
        <xdr:cNvPr id="125" name="AutoShape 25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243</xdr:row>
      <xdr:rowOff>78442</xdr:rowOff>
    </xdr:from>
    <xdr:to>
      <xdr:col>12</xdr:col>
      <xdr:colOff>471766</xdr:colOff>
      <xdr:row>243</xdr:row>
      <xdr:rowOff>154642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8325969" y="4868956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240</xdr:row>
      <xdr:rowOff>74514</xdr:rowOff>
    </xdr:from>
    <xdr:to>
      <xdr:col>12</xdr:col>
      <xdr:colOff>528358</xdr:colOff>
      <xdr:row>240</xdr:row>
      <xdr:rowOff>150714</xdr:rowOff>
    </xdr:to>
    <xdr:sp macro="" textlink="">
      <xdr:nvSpPr>
        <xdr:cNvPr id="127" name="AutoShape 25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240</xdr:row>
      <xdr:rowOff>74514</xdr:rowOff>
    </xdr:from>
    <xdr:to>
      <xdr:col>12</xdr:col>
      <xdr:colOff>528358</xdr:colOff>
      <xdr:row>240</xdr:row>
      <xdr:rowOff>150714</xdr:rowOff>
    </xdr:to>
    <xdr:sp macro="" textlink="">
      <xdr:nvSpPr>
        <xdr:cNvPr id="128" name="AutoShape 25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299</xdr:row>
      <xdr:rowOff>90206</xdr:rowOff>
    </xdr:from>
    <xdr:to>
      <xdr:col>12</xdr:col>
      <xdr:colOff>476812</xdr:colOff>
      <xdr:row>299</xdr:row>
      <xdr:rowOff>166406</xdr:rowOff>
    </xdr:to>
    <xdr:sp macro="" textlink="">
      <xdr:nvSpPr>
        <xdr:cNvPr id="130" name="AutoShape 25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301</xdr:row>
      <xdr:rowOff>78442</xdr:rowOff>
    </xdr:from>
    <xdr:to>
      <xdr:col>12</xdr:col>
      <xdr:colOff>471766</xdr:colOff>
      <xdr:row>301</xdr:row>
      <xdr:rowOff>154642</xdr:rowOff>
    </xdr:to>
    <xdr:sp macro="" textlink="">
      <xdr:nvSpPr>
        <xdr:cNvPr id="131" name="AutoShape 25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8325969" y="602092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298</xdr:row>
      <xdr:rowOff>74514</xdr:rowOff>
    </xdr:from>
    <xdr:to>
      <xdr:col>12</xdr:col>
      <xdr:colOff>528358</xdr:colOff>
      <xdr:row>298</xdr:row>
      <xdr:rowOff>150714</xdr:rowOff>
    </xdr:to>
    <xdr:sp macro="" textlink="">
      <xdr:nvSpPr>
        <xdr:cNvPr id="132" name="AutoShape 25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298</xdr:row>
      <xdr:rowOff>74514</xdr:rowOff>
    </xdr:from>
    <xdr:to>
      <xdr:col>12</xdr:col>
      <xdr:colOff>528358</xdr:colOff>
      <xdr:row>298</xdr:row>
      <xdr:rowOff>150714</xdr:rowOff>
    </xdr:to>
    <xdr:sp macro="" textlink="">
      <xdr:nvSpPr>
        <xdr:cNvPr id="133" name="AutoShape 25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357</xdr:row>
      <xdr:rowOff>90206</xdr:rowOff>
    </xdr:from>
    <xdr:to>
      <xdr:col>12</xdr:col>
      <xdr:colOff>476812</xdr:colOff>
      <xdr:row>357</xdr:row>
      <xdr:rowOff>166406</xdr:rowOff>
    </xdr:to>
    <xdr:sp macro="" textlink="">
      <xdr:nvSpPr>
        <xdr:cNvPr id="135" name="AutoShape 2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8331015" y="714380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359</xdr:row>
      <xdr:rowOff>78442</xdr:rowOff>
    </xdr:from>
    <xdr:to>
      <xdr:col>12</xdr:col>
      <xdr:colOff>471766</xdr:colOff>
      <xdr:row>359</xdr:row>
      <xdr:rowOff>154642</xdr:rowOff>
    </xdr:to>
    <xdr:sp macro="" textlink="">
      <xdr:nvSpPr>
        <xdr:cNvPr id="136" name="AutoShape 2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8325969" y="718297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356</xdr:row>
      <xdr:rowOff>74514</xdr:rowOff>
    </xdr:from>
    <xdr:to>
      <xdr:col>12</xdr:col>
      <xdr:colOff>528358</xdr:colOff>
      <xdr:row>356</xdr:row>
      <xdr:rowOff>150714</xdr:rowOff>
    </xdr:to>
    <xdr:sp macro="" textlink="">
      <xdr:nvSpPr>
        <xdr:cNvPr id="137" name="AutoShape 25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356</xdr:row>
      <xdr:rowOff>74514</xdr:rowOff>
    </xdr:from>
    <xdr:to>
      <xdr:col>12</xdr:col>
      <xdr:colOff>528358</xdr:colOff>
      <xdr:row>356</xdr:row>
      <xdr:rowOff>150714</xdr:rowOff>
    </xdr:to>
    <xdr:sp macro="" textlink="">
      <xdr:nvSpPr>
        <xdr:cNvPr id="138" name="AutoShape 25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75</xdr:row>
      <xdr:rowOff>77322</xdr:rowOff>
    </xdr:from>
    <xdr:to>
      <xdr:col>12</xdr:col>
      <xdr:colOff>625286</xdr:colOff>
      <xdr:row>75</xdr:row>
      <xdr:rowOff>153522</xdr:rowOff>
    </xdr:to>
    <xdr:sp macro="" textlink="">
      <xdr:nvSpPr>
        <xdr:cNvPr id="110" name="AutoShape 25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8479489" y="1547420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134</xdr:row>
      <xdr:rowOff>77322</xdr:rowOff>
    </xdr:from>
    <xdr:to>
      <xdr:col>12</xdr:col>
      <xdr:colOff>625286</xdr:colOff>
      <xdr:row>134</xdr:row>
      <xdr:rowOff>153522</xdr:rowOff>
    </xdr:to>
    <xdr:sp macro="" textlink="">
      <xdr:nvSpPr>
        <xdr:cNvPr id="111" name="AutoShape 25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8479489" y="2724038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192</xdr:row>
      <xdr:rowOff>77322</xdr:rowOff>
    </xdr:from>
    <xdr:to>
      <xdr:col>12</xdr:col>
      <xdr:colOff>625286</xdr:colOff>
      <xdr:row>192</xdr:row>
      <xdr:rowOff>153522</xdr:rowOff>
    </xdr:to>
    <xdr:sp macro="" textlink="">
      <xdr:nvSpPr>
        <xdr:cNvPr id="112" name="AutoShape 25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8479489" y="38894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250</xdr:row>
      <xdr:rowOff>77322</xdr:rowOff>
    </xdr:from>
    <xdr:to>
      <xdr:col>12</xdr:col>
      <xdr:colOff>625286</xdr:colOff>
      <xdr:row>250</xdr:row>
      <xdr:rowOff>153522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479489" y="5042535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308</xdr:row>
      <xdr:rowOff>77322</xdr:rowOff>
    </xdr:from>
    <xdr:to>
      <xdr:col>12</xdr:col>
      <xdr:colOff>625286</xdr:colOff>
      <xdr:row>308</xdr:row>
      <xdr:rowOff>153522</xdr:rowOff>
    </xdr:to>
    <xdr:sp macro="" textlink="">
      <xdr:nvSpPr>
        <xdr:cNvPr id="114" name="AutoShape 25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8479489" y="62057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366</xdr:row>
      <xdr:rowOff>77322</xdr:rowOff>
    </xdr:from>
    <xdr:to>
      <xdr:col>12</xdr:col>
      <xdr:colOff>625286</xdr:colOff>
      <xdr:row>366</xdr:row>
      <xdr:rowOff>153522</xdr:rowOff>
    </xdr:to>
    <xdr:sp macro="" textlink="">
      <xdr:nvSpPr>
        <xdr:cNvPr id="115" name="AutoShape 25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8479489" y="736775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156883</xdr:colOff>
      <xdr:row>59</xdr:row>
      <xdr:rowOff>22411</xdr:rowOff>
    </xdr:from>
    <xdr:to>
      <xdr:col>3</xdr:col>
      <xdr:colOff>175933</xdr:colOff>
      <xdr:row>63</xdr:row>
      <xdr:rowOff>203386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1743764"/>
          <a:ext cx="1778374" cy="10326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30" t="s">
        <v>182</v>
      </c>
      <c r="B2" s="231"/>
      <c r="C2" s="231"/>
      <c r="D2" s="231"/>
      <c r="E2" s="232"/>
      <c r="G2" s="230" t="s">
        <v>183</v>
      </c>
      <c r="H2" s="231"/>
      <c r="I2" s="231"/>
      <c r="J2" s="231"/>
      <c r="K2" s="232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171</v>
      </c>
      <c r="K3" s="112" t="s">
        <v>170</v>
      </c>
    </row>
    <row r="4" spans="1:13" x14ac:dyDescent="0.25">
      <c r="A4" s="233" t="s">
        <v>6</v>
      </c>
      <c r="B4" s="96">
        <v>4</v>
      </c>
      <c r="C4" s="96">
        <v>4</v>
      </c>
      <c r="D4" s="97">
        <v>312</v>
      </c>
      <c r="E4" s="98">
        <v>185</v>
      </c>
      <c r="G4" s="233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4"/>
      <c r="B5" s="99">
        <v>2</v>
      </c>
      <c r="C5" s="99">
        <v>4</v>
      </c>
      <c r="D5" s="100">
        <v>469</v>
      </c>
      <c r="E5" s="101">
        <v>279</v>
      </c>
      <c r="G5" s="234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4"/>
      <c r="B6" s="99" t="s">
        <v>0</v>
      </c>
      <c r="C6" s="99">
        <v>4</v>
      </c>
      <c r="D6" s="100">
        <v>692</v>
      </c>
      <c r="E6" s="101">
        <v>412</v>
      </c>
      <c r="G6" s="234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4"/>
      <c r="B7" s="99" t="s">
        <v>1</v>
      </c>
      <c r="C7" s="99">
        <v>2</v>
      </c>
      <c r="D7" s="100">
        <v>831</v>
      </c>
      <c r="E7" s="101">
        <v>495</v>
      </c>
      <c r="G7" s="234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4"/>
      <c r="B8" s="99" t="s">
        <v>2</v>
      </c>
      <c r="C8" s="99">
        <v>2</v>
      </c>
      <c r="D8" s="100">
        <v>982</v>
      </c>
      <c r="E8" s="101">
        <v>584</v>
      </c>
      <c r="G8" s="234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5"/>
      <c r="B9" s="102" t="s">
        <v>3</v>
      </c>
      <c r="C9" s="102" t="s">
        <v>0</v>
      </c>
      <c r="D9" s="103">
        <v>1159</v>
      </c>
      <c r="E9" s="104">
        <v>690</v>
      </c>
      <c r="G9" s="235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33" t="s">
        <v>7</v>
      </c>
      <c r="B10" s="96">
        <v>4</v>
      </c>
      <c r="C10" s="96">
        <v>4</v>
      </c>
      <c r="D10" s="97">
        <v>276</v>
      </c>
      <c r="E10" s="98">
        <v>164</v>
      </c>
      <c r="G10" s="233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4"/>
      <c r="B11" s="99">
        <v>2</v>
      </c>
      <c r="C11" s="99">
        <v>4</v>
      </c>
      <c r="D11" s="100">
        <v>419</v>
      </c>
      <c r="E11" s="101">
        <v>249</v>
      </c>
      <c r="G11" s="234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4"/>
      <c r="B12" s="99" t="s">
        <v>0</v>
      </c>
      <c r="C12" s="99">
        <v>4</v>
      </c>
      <c r="D12" s="100">
        <v>622</v>
      </c>
      <c r="E12" s="101">
        <v>370</v>
      </c>
      <c r="G12" s="234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4"/>
      <c r="B13" s="99" t="s">
        <v>1</v>
      </c>
      <c r="C13" s="99">
        <v>2</v>
      </c>
      <c r="D13" s="100">
        <v>746</v>
      </c>
      <c r="E13" s="101">
        <v>444</v>
      </c>
      <c r="G13" s="234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4"/>
      <c r="B14" s="99" t="s">
        <v>2</v>
      </c>
      <c r="C14" s="99">
        <v>2</v>
      </c>
      <c r="D14" s="100">
        <v>887</v>
      </c>
      <c r="E14" s="101">
        <v>528</v>
      </c>
      <c r="G14" s="234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5"/>
      <c r="B15" s="102" t="s">
        <v>3</v>
      </c>
      <c r="C15" s="102" t="s">
        <v>0</v>
      </c>
      <c r="D15" s="103">
        <v>1049</v>
      </c>
      <c r="E15" s="104">
        <v>625</v>
      </c>
      <c r="G15" s="235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33" t="s">
        <v>8</v>
      </c>
      <c r="B16" s="105">
        <v>8</v>
      </c>
      <c r="C16" s="106">
        <v>8</v>
      </c>
      <c r="D16" s="97">
        <v>209</v>
      </c>
      <c r="E16" s="98">
        <v>124</v>
      </c>
      <c r="G16" s="233" t="s">
        <v>8</v>
      </c>
      <c r="H16" s="105"/>
      <c r="I16" s="106"/>
      <c r="J16" s="97"/>
      <c r="K16" s="98"/>
      <c r="M16" s="86"/>
    </row>
    <row r="17" spans="1:13" x14ac:dyDescent="0.25">
      <c r="A17" s="234"/>
      <c r="B17" s="107">
        <v>6</v>
      </c>
      <c r="C17" s="108">
        <v>8</v>
      </c>
      <c r="D17" s="100">
        <v>319</v>
      </c>
      <c r="E17" s="101">
        <v>190</v>
      </c>
      <c r="G17" s="234"/>
      <c r="H17" s="107"/>
      <c r="I17" s="108"/>
      <c r="J17" s="100"/>
      <c r="K17" s="101"/>
      <c r="M17" s="86"/>
    </row>
    <row r="18" spans="1:13" x14ac:dyDescent="0.25">
      <c r="A18" s="234"/>
      <c r="B18" s="107">
        <v>6</v>
      </c>
      <c r="C18" s="108">
        <v>6</v>
      </c>
      <c r="D18" s="100">
        <v>319</v>
      </c>
      <c r="E18" s="101">
        <v>190</v>
      </c>
      <c r="G18" s="234"/>
      <c r="H18" s="107"/>
      <c r="I18" s="108"/>
      <c r="J18" s="100"/>
      <c r="K18" s="101"/>
      <c r="M18" s="86"/>
    </row>
    <row r="19" spans="1:13" x14ac:dyDescent="0.25">
      <c r="A19" s="234"/>
      <c r="B19" s="107">
        <v>4</v>
      </c>
      <c r="C19" s="108">
        <v>4</v>
      </c>
      <c r="D19" s="100">
        <v>474</v>
      </c>
      <c r="E19" s="101">
        <v>282</v>
      </c>
      <c r="G19" s="234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4"/>
      <c r="B20" s="107">
        <v>2</v>
      </c>
      <c r="C20" s="108">
        <v>4</v>
      </c>
      <c r="D20" s="100">
        <v>688</v>
      </c>
      <c r="E20" s="101">
        <v>401</v>
      </c>
      <c r="G20" s="234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4"/>
      <c r="B21" s="107" t="s">
        <v>0</v>
      </c>
      <c r="C21" s="108">
        <v>4</v>
      </c>
      <c r="D21" s="100">
        <v>975</v>
      </c>
      <c r="E21" s="101">
        <v>580</v>
      </c>
      <c r="G21" s="234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4"/>
      <c r="B22" s="107" t="s">
        <v>1</v>
      </c>
      <c r="C22" s="108">
        <v>2</v>
      </c>
      <c r="D22" s="100">
        <v>1146</v>
      </c>
      <c r="E22" s="101">
        <v>682</v>
      </c>
      <c r="G22" s="234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4"/>
      <c r="B23" s="107" t="s">
        <v>2</v>
      </c>
      <c r="C23" s="108">
        <v>2</v>
      </c>
      <c r="D23" s="100">
        <v>1335</v>
      </c>
      <c r="E23" s="101">
        <v>795</v>
      </c>
      <c r="G23" s="234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5"/>
      <c r="B24" s="109" t="s">
        <v>3</v>
      </c>
      <c r="C24" s="102" t="s">
        <v>0</v>
      </c>
      <c r="D24" s="103">
        <v>1539</v>
      </c>
      <c r="E24" s="104">
        <v>910</v>
      </c>
      <c r="G24" s="235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33" t="s">
        <v>9</v>
      </c>
      <c r="B25" s="96">
        <v>4</v>
      </c>
      <c r="C25" s="96">
        <v>4</v>
      </c>
      <c r="D25" s="97">
        <v>298</v>
      </c>
      <c r="E25" s="98">
        <v>177</v>
      </c>
      <c r="G25" s="233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4"/>
      <c r="B26" s="99">
        <v>2</v>
      </c>
      <c r="C26" s="99">
        <v>4</v>
      </c>
      <c r="D26" s="100">
        <v>427</v>
      </c>
      <c r="E26" s="101">
        <v>254</v>
      </c>
      <c r="G26" s="234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4"/>
      <c r="B27" s="99" t="s">
        <v>0</v>
      </c>
      <c r="C27" s="99">
        <v>4</v>
      </c>
      <c r="D27" s="100">
        <v>595</v>
      </c>
      <c r="E27" s="101">
        <v>351</v>
      </c>
      <c r="G27" s="234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4"/>
      <c r="B28" s="99" t="s">
        <v>1</v>
      </c>
      <c r="C28" s="99">
        <v>2</v>
      </c>
      <c r="D28" s="100">
        <v>708</v>
      </c>
      <c r="E28" s="101">
        <v>420</v>
      </c>
      <c r="G28" s="234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4"/>
      <c r="B29" s="99" t="s">
        <v>2</v>
      </c>
      <c r="C29" s="99">
        <v>2</v>
      </c>
      <c r="D29" s="100">
        <v>833</v>
      </c>
      <c r="E29" s="101">
        <v>495</v>
      </c>
      <c r="G29" s="234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5"/>
      <c r="B30" s="102" t="s">
        <v>3</v>
      </c>
      <c r="C30" s="102" t="s">
        <v>0</v>
      </c>
      <c r="D30" s="103">
        <v>972</v>
      </c>
      <c r="E30" s="104">
        <v>570</v>
      </c>
      <c r="G30" s="235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A25:A30"/>
    <mergeCell ref="A2:E2"/>
    <mergeCell ref="A4:A9"/>
    <mergeCell ref="A10:A15"/>
    <mergeCell ref="A16:A24"/>
    <mergeCell ref="G2:K2"/>
    <mergeCell ref="G4:G9"/>
    <mergeCell ref="G10:G15"/>
    <mergeCell ref="G16:G24"/>
    <mergeCell ref="G25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408"/>
  <sheetViews>
    <sheetView zoomScale="85" zoomScaleNormal="85" workbookViewId="0">
      <selection activeCell="AH4" sqref="AH4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216</v>
      </c>
    </row>
    <row r="2" spans="1:31" ht="18" x14ac:dyDescent="0.25">
      <c r="A2" s="260" t="s">
        <v>62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31" ht="18" x14ac:dyDescent="0.25">
      <c r="A3" s="133"/>
      <c r="B3" s="133"/>
      <c r="C3" s="133"/>
      <c r="D3" s="133"/>
      <c r="E3" s="133"/>
      <c r="F3" s="22" t="s">
        <v>203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61" t="s">
        <v>112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160</v>
      </c>
      <c r="AE4" s="138" t="s">
        <v>166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0" t="s">
        <v>67</v>
      </c>
      <c r="E6" s="250"/>
      <c r="F6" s="262" t="s">
        <v>92</v>
      </c>
      <c r="G6" s="263"/>
      <c r="H6" s="264" t="s">
        <v>91</v>
      </c>
      <c r="I6" s="265"/>
      <c r="J6" s="266"/>
      <c r="K6" s="267" t="s">
        <v>81</v>
      </c>
      <c r="L6" s="268"/>
      <c r="M6" s="269" t="s">
        <v>205</v>
      </c>
      <c r="N6" s="270"/>
      <c r="Q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9" t="s">
        <v>83</v>
      </c>
      <c r="E8" s="250"/>
      <c r="F8" s="251"/>
      <c r="G8" s="26"/>
      <c r="H8" s="29"/>
      <c r="I8" s="272"/>
      <c r="J8" s="273"/>
      <c r="K8" s="26"/>
      <c r="L8" s="26" t="s">
        <v>164</v>
      </c>
      <c r="M8" s="26"/>
      <c r="N8" s="211" t="s">
        <v>161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168</v>
      </c>
      <c r="L9" s="208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2" t="s">
        <v>70</v>
      </c>
      <c r="E10" s="253"/>
      <c r="F10" s="18"/>
      <c r="G10" s="18"/>
      <c r="H10" s="18"/>
      <c r="I10" s="18"/>
      <c r="J10" s="18"/>
      <c r="K10" s="23"/>
      <c r="L10" s="18" t="s">
        <v>169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165</v>
      </c>
      <c r="L11" s="35"/>
      <c r="M11" s="18"/>
      <c r="N11" s="209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138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5</v>
      </c>
      <c r="E13" s="21"/>
      <c r="F13" s="28"/>
      <c r="G13" s="42" t="s">
        <v>32</v>
      </c>
      <c r="H13" s="275" t="s">
        <v>204</v>
      </c>
      <c r="I13" s="276"/>
      <c r="J13" s="276"/>
      <c r="K13" s="41"/>
      <c r="L13" s="21"/>
      <c r="M13" s="115" t="s">
        <v>93</v>
      </c>
      <c r="N13" s="210">
        <f>+N14/N11</f>
        <v>8.0751194815342586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180</v>
      </c>
      <c r="E14" s="41"/>
      <c r="F14" s="28"/>
      <c r="G14" s="42" t="s">
        <v>35</v>
      </c>
      <c r="H14" s="256">
        <v>43598</v>
      </c>
      <c r="I14" s="257"/>
      <c r="J14" s="257"/>
      <c r="K14" s="41"/>
      <c r="L14" s="21"/>
      <c r="M14" s="115" t="s">
        <v>167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8.0751194815342586</v>
      </c>
      <c r="P14" s="224" t="s">
        <v>194</v>
      </c>
      <c r="Q14" s="225" t="e">
        <f>+D13+#REF!+D71+D130+D188+D246+D304+D362</f>
        <v>#REF!</v>
      </c>
      <c r="R14" s="274" t="s">
        <v>192</v>
      </c>
      <c r="S14" s="274"/>
      <c r="T14" s="274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8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59"/>
      <c r="C15" s="259"/>
      <c r="D15" s="259"/>
      <c r="E15" s="259"/>
      <c r="F15" s="259"/>
      <c r="G15" s="259"/>
      <c r="H15" s="259"/>
      <c r="I15" s="259"/>
      <c r="J15" s="259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4" t="s">
        <v>193</v>
      </c>
      <c r="Q15" s="225" t="e">
        <f>+D14+#REF!+D72+D131+D189+D247+D305+D363</f>
        <v>#REF!</v>
      </c>
      <c r="R15" s="271" t="s">
        <v>190</v>
      </c>
      <c r="S15" s="227" t="s">
        <v>188</v>
      </c>
      <c r="T15" s="226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71"/>
      <c r="S16" s="227" t="s">
        <v>189</v>
      </c>
      <c r="T16" s="226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71" t="s">
        <v>191</v>
      </c>
      <c r="S17" s="227" t="s">
        <v>188</v>
      </c>
      <c r="T17" s="226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186</v>
      </c>
      <c r="M18" s="21"/>
      <c r="N18" s="163"/>
      <c r="R18" s="271"/>
      <c r="S18" s="227" t="s">
        <v>189</v>
      </c>
      <c r="T18" s="226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206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4" t="s">
        <v>38</v>
      </c>
      <c r="B21" s="245"/>
      <c r="C21" s="52" t="s">
        <v>39</v>
      </c>
      <c r="D21" s="52" t="s">
        <v>40</v>
      </c>
      <c r="E21" s="53" t="s">
        <v>41</v>
      </c>
      <c r="F21" s="53" t="s">
        <v>42</v>
      </c>
      <c r="G21" s="244" t="s">
        <v>43</v>
      </c>
      <c r="H21" s="246"/>
      <c r="I21" s="246"/>
      <c r="J21" s="245"/>
      <c r="K21" s="247" t="s">
        <v>44</v>
      </c>
      <c r="L21" s="246" t="s">
        <v>45</v>
      </c>
      <c r="M21" s="246"/>
      <c r="N21" s="245"/>
      <c r="P21" s="138" t="s">
        <v>43</v>
      </c>
      <c r="Q21" s="228" t="e">
        <f>+H51+#REF!+H110+H169+H227+H285+H343+H401</f>
        <v>#REF!</v>
      </c>
      <c r="R21" s="228"/>
      <c r="S21" s="228" t="e">
        <f>+J51+#REF!+J110+J169+J227+J285+J343+J401</f>
        <v>#REF!</v>
      </c>
      <c r="T21" s="228" t="e">
        <f>+Q21+S21</f>
        <v>#REF!</v>
      </c>
      <c r="U21" s="236" t="s">
        <v>98</v>
      </c>
      <c r="V21" s="236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8"/>
      <c r="L22" s="53" t="s">
        <v>54</v>
      </c>
      <c r="M22" s="43" t="s">
        <v>55</v>
      </c>
      <c r="N22" s="57" t="s">
        <v>56</v>
      </c>
      <c r="U22" s="236"/>
      <c r="V22" s="236"/>
    </row>
    <row r="23" spans="1:24" x14ac:dyDescent="0.25">
      <c r="A23" s="191" t="s">
        <v>206</v>
      </c>
      <c r="B23" s="164" t="s">
        <v>207</v>
      </c>
      <c r="C23" s="165">
        <v>80</v>
      </c>
      <c r="D23" s="165">
        <v>1</v>
      </c>
      <c r="E23" s="166">
        <v>90</v>
      </c>
      <c r="F23" s="193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2.6239535070451532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49" si="0">IF(C23="","",ROUND(F23*C23,0))</f>
        <v>210</v>
      </c>
      <c r="L23" s="61">
        <f>IF($N$19="","",IF(C23="","",ROUND(K23/J23,2)))</f>
        <v>0.75</v>
      </c>
      <c r="M23" s="61">
        <f>IF(C23="","",VLOOKUP(A23,$B$23:$N$49,12,FALSE)+L23+N18)</f>
        <v>0.75</v>
      </c>
      <c r="N23" s="154"/>
      <c r="U23" s="138">
        <f>+IF(C23="",0,C23)</f>
        <v>80</v>
      </c>
      <c r="V23" s="138">
        <f>IF(OR(C23="",G23=""),0,C23*G23)</f>
        <v>80</v>
      </c>
    </row>
    <row r="24" spans="1:24" x14ac:dyDescent="0.25">
      <c r="A24" s="167" t="s">
        <v>206</v>
      </c>
      <c r="B24" s="168" t="s">
        <v>208</v>
      </c>
      <c r="C24" s="169">
        <v>81</v>
      </c>
      <c r="D24" s="169">
        <v>1</v>
      </c>
      <c r="E24" s="170">
        <v>90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2.6239535070451532</v>
      </c>
      <c r="G24" s="59">
        <f t="shared" ref="G24:G49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213</v>
      </c>
      <c r="L24" s="62">
        <f t="shared" ref="L24:L48" si="2">IF($N$19="","",IF(C24="","",ROUND(K24/J24,2)))</f>
        <v>0.76</v>
      </c>
      <c r="M24" s="62">
        <f t="shared" ref="M24:M48" si="3">IF(C24="","",VLOOKUP(A24,$B$23:$N$49,12,FALSE)+L24)</f>
        <v>0.76</v>
      </c>
      <c r="N24" s="155">
        <f>+M24</f>
        <v>0.76</v>
      </c>
      <c r="U24" s="138">
        <f t="shared" ref="U24:U48" si="4">+IF(C24="",0,C24)</f>
        <v>81</v>
      </c>
      <c r="V24" s="138">
        <f t="shared" ref="V24:V48" si="5">IF(OR(C24="",G24=""),0,C24*G24)</f>
        <v>81</v>
      </c>
    </row>
    <row r="25" spans="1:24" x14ac:dyDescent="0.25">
      <c r="A25" s="167"/>
      <c r="B25" s="168"/>
      <c r="C25" s="169"/>
      <c r="D25" s="169"/>
      <c r="E25" s="170"/>
      <c r="F25" s="58" t="str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/>
      </c>
      <c r="G25" s="59" t="str">
        <f t="shared" si="1"/>
        <v/>
      </c>
      <c r="H25" s="183"/>
      <c r="I25" s="183"/>
      <c r="J25" s="59" t="str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/>
      </c>
      <c r="K25" s="63" t="str">
        <f t="shared" si="0"/>
        <v/>
      </c>
      <c r="L25" s="62" t="str">
        <f t="shared" si="2"/>
        <v/>
      </c>
      <c r="M25" s="62" t="str">
        <f t="shared" si="3"/>
        <v/>
      </c>
      <c r="N25" s="155" t="str">
        <f>+M25</f>
        <v/>
      </c>
      <c r="U25" s="138">
        <f t="shared" si="4"/>
        <v>0</v>
      </c>
      <c r="V25" s="138">
        <f t="shared" si="5"/>
        <v>0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/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 t="str">
        <f>+M27</f>
        <v/>
      </c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 t="str">
        <f>+M28</f>
        <v/>
      </c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/>
      <c r="U29" s="138">
        <f t="shared" si="4"/>
        <v>0</v>
      </c>
      <c r="V29" s="138">
        <f t="shared" si="5"/>
        <v>0</v>
      </c>
    </row>
    <row r="30" spans="1:24" x14ac:dyDescent="0.25">
      <c r="A30" s="171"/>
      <c r="B30" s="172"/>
      <c r="C30" s="173"/>
      <c r="D30" s="173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67"/>
      <c r="B31" s="168"/>
      <c r="C31" s="169"/>
      <c r="D31" s="169"/>
      <c r="E31" s="174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75"/>
      <c r="B32" s="176"/>
      <c r="C32" s="177"/>
      <c r="D32" s="177"/>
      <c r="E32" s="170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 t="str">
        <f>+M32</f>
        <v/>
      </c>
      <c r="U32" s="138">
        <f t="shared" si="4"/>
        <v>0</v>
      </c>
      <c r="V32" s="138">
        <f t="shared" si="5"/>
        <v>0</v>
      </c>
    </row>
    <row r="33" spans="1:22" x14ac:dyDescent="0.25">
      <c r="A33" s="167"/>
      <c r="B33" s="168"/>
      <c r="C33" s="169"/>
      <c r="D33" s="169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 t="str">
        <f>+M33</f>
        <v/>
      </c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/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 t="str">
        <f>+M36</f>
        <v/>
      </c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/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6"/>
      <c r="U47" s="138">
        <f t="shared" si="4"/>
        <v>0</v>
      </c>
      <c r="V47" s="138">
        <f t="shared" si="5"/>
        <v>0</v>
      </c>
    </row>
    <row r="48" spans="1:22" ht="15.75" thickBot="1" x14ac:dyDescent="0.3">
      <c r="A48" s="178"/>
      <c r="B48" s="179"/>
      <c r="C48" s="180"/>
      <c r="D48" s="180"/>
      <c r="E48" s="181"/>
      <c r="F48" s="6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69" t="str">
        <f t="shared" si="1"/>
        <v/>
      </c>
      <c r="H48" s="184"/>
      <c r="I48" s="184"/>
      <c r="J48" s="6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5" t="str">
        <f t="shared" si="0"/>
        <v/>
      </c>
      <c r="L48" s="64" t="str">
        <f t="shared" si="2"/>
        <v/>
      </c>
      <c r="M48" s="64" t="str">
        <f t="shared" si="3"/>
        <v/>
      </c>
      <c r="N48" s="157"/>
      <c r="U48" s="138">
        <f t="shared" si="4"/>
        <v>0</v>
      </c>
      <c r="V48" s="138">
        <f t="shared" si="5"/>
        <v>0</v>
      </c>
    </row>
    <row r="49" spans="1:31" ht="15.75" hidden="1" thickBot="1" x14ac:dyDescent="0.3">
      <c r="A49" s="143"/>
      <c r="B49" s="67" t="str">
        <f>IF(N19="","",N19)</f>
        <v>P45</v>
      </c>
      <c r="C49" s="144"/>
      <c r="D49" s="144"/>
      <c r="E49" s="145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46" t="e">
        <f>IF(B49="","",IF(B49-A49=1,H48,""))</f>
        <v>#VALUE!</v>
      </c>
      <c r="I49" s="146"/>
      <c r="J49" s="70" t="e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>#VALUE!</v>
      </c>
      <c r="K49" s="71" t="str">
        <f t="shared" si="0"/>
        <v/>
      </c>
      <c r="L49" s="68" t="str">
        <f t="shared" ref="L49" si="6">IF(C49="","",ROUND(K49/J49,2))</f>
        <v/>
      </c>
      <c r="M49" s="72">
        <v>0</v>
      </c>
      <c r="N49" s="66"/>
      <c r="U49" s="138">
        <f t="shared" ref="U49:U50" si="7">+IF(D49&gt;0,C49,0)</f>
        <v>0</v>
      </c>
      <c r="V49" s="138">
        <f t="shared" ref="V49:V50" si="8">IF(C49="",0,C49*G49)</f>
        <v>0</v>
      </c>
    </row>
    <row r="50" spans="1:31" ht="15.75" thickBot="1" x14ac:dyDescent="0.3">
      <c r="A50" s="73" t="s">
        <v>113</v>
      </c>
      <c r="B50" s="74"/>
      <c r="C50" s="75"/>
      <c r="D50" s="75"/>
      <c r="E50" s="76"/>
      <c r="F50" s="77"/>
      <c r="G50" s="78"/>
      <c r="H50" s="79"/>
      <c r="I50" s="79"/>
      <c r="J50" s="78"/>
      <c r="K50" s="121"/>
      <c r="L50" s="121"/>
      <c r="M50" s="128"/>
      <c r="N50" s="237"/>
      <c r="U50" s="138">
        <f t="shared" si="7"/>
        <v>0</v>
      </c>
      <c r="V50" s="138">
        <f t="shared" si="8"/>
        <v>0</v>
      </c>
    </row>
    <row r="51" spans="1:31" ht="15.75" thickBot="1" x14ac:dyDescent="0.3">
      <c r="A51" s="93" t="s">
        <v>96</v>
      </c>
      <c r="B51" s="94">
        <f>+ROUND(SUMIF(H23:H48,"4/0",V23:V50)*1.015,0)</f>
        <v>0</v>
      </c>
      <c r="C51" s="93" t="s">
        <v>97</v>
      </c>
      <c r="D51" s="94">
        <f>ROUND((SUMIF(H23:H48,"3/0",V23:V50))*1.015,0)</f>
        <v>0</v>
      </c>
      <c r="E51" s="82" t="s">
        <v>95</v>
      </c>
      <c r="F51" s="81">
        <f>ROUND((SUMIF(H23:H48,"2/0",V23:V50))*1.015,0)</f>
        <v>0</v>
      </c>
      <c r="G51" s="80" t="s">
        <v>57</v>
      </c>
      <c r="H51" s="81">
        <f>ROUND((SUMIF(H23:H48,"1/0",V23:V50))*1.015,0)</f>
        <v>0</v>
      </c>
      <c r="I51" s="93" t="s">
        <v>58</v>
      </c>
      <c r="J51" s="94">
        <f>ROUND((SUMIF(H23:H48,"2",V23:V50))*1.015,0)</f>
        <v>163</v>
      </c>
      <c r="K51" s="147"/>
      <c r="L51" s="91"/>
      <c r="M51" s="92"/>
      <c r="N51" s="238"/>
    </row>
    <row r="52" spans="1:31" ht="15.75" thickBot="1" x14ac:dyDescent="0.3">
      <c r="A52" s="119" t="s">
        <v>107</v>
      </c>
      <c r="B52" s="92"/>
      <c r="C52" s="91"/>
      <c r="D52" s="92"/>
      <c r="E52" s="91"/>
      <c r="F52" s="92"/>
      <c r="G52" s="91"/>
      <c r="H52" s="92"/>
      <c r="I52" s="92"/>
      <c r="J52" s="91"/>
      <c r="K52" s="92"/>
      <c r="L52" s="91"/>
      <c r="M52" s="92"/>
      <c r="N52" s="238"/>
    </row>
    <row r="53" spans="1:31" ht="15.75" thickBot="1" x14ac:dyDescent="0.3">
      <c r="A53" s="93" t="s">
        <v>96</v>
      </c>
      <c r="B53" s="94">
        <f>+ROUND(SUMIF(I23:I48,"4/0",U23:U50)*1.015,0)</f>
        <v>0</v>
      </c>
      <c r="C53" s="93" t="s">
        <v>97</v>
      </c>
      <c r="D53" s="94">
        <f>ROUND((SUMIF(I23:I48,"3/0",U23:U50))*1.015,0)</f>
        <v>0</v>
      </c>
      <c r="E53" s="93" t="s">
        <v>95</v>
      </c>
      <c r="F53" s="94">
        <f>ROUND((SUMIF(I23:I48,"2/0",U23:U50))*1.015,0)</f>
        <v>0</v>
      </c>
      <c r="G53" s="93" t="s">
        <v>57</v>
      </c>
      <c r="H53" s="94">
        <f>ROUND((SUMIF(I23:I48,"1/0",U23:U50))*1.015,0)</f>
        <v>0</v>
      </c>
      <c r="I53" s="93" t="s">
        <v>58</v>
      </c>
      <c r="J53" s="94">
        <f>ROUND((SUMIF(I23:I48,"2",U23:U50))*1.015,0)</f>
        <v>163</v>
      </c>
      <c r="L53" s="91"/>
      <c r="M53" s="92"/>
      <c r="N53" s="238"/>
    </row>
    <row r="54" spans="1:31" ht="15.75" thickBot="1" x14ac:dyDescent="0.3">
      <c r="A54" s="239" t="s">
        <v>123</v>
      </c>
      <c r="B54" s="239"/>
      <c r="C54" s="239"/>
      <c r="D54" s="21">
        <f>IF(N10="","",SUM(C23:C48))</f>
        <v>161</v>
      </c>
      <c r="E54" s="28" t="s">
        <v>59</v>
      </c>
      <c r="G54" s="21"/>
      <c r="H54" s="21"/>
      <c r="I54" s="21"/>
      <c r="J54" s="21"/>
      <c r="K54" s="21"/>
      <c r="L54" s="21"/>
      <c r="M54" s="23"/>
      <c r="N54" s="83" t="s">
        <v>80</v>
      </c>
    </row>
    <row r="55" spans="1:31" x14ac:dyDescent="0.25">
      <c r="A55" s="36" t="s">
        <v>60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1"/>
      <c r="N55" s="84" t="s">
        <v>61</v>
      </c>
    </row>
    <row r="56" spans="1:31" ht="15.75" thickBot="1" x14ac:dyDescent="0.3">
      <c r="A56" s="148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3"/>
      <c r="N56" s="85">
        <f>MAX(N23:N48)</f>
        <v>0.76</v>
      </c>
    </row>
    <row r="57" spans="1:31" x14ac:dyDescent="0.25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7"/>
    </row>
    <row r="58" spans="1:31" ht="15.75" hidden="1" thickBot="1" x14ac:dyDescent="0.3"/>
    <row r="59" spans="1:31" ht="15.75" hidden="1" thickBot="1" x14ac:dyDescent="0.3">
      <c r="A59" s="18"/>
      <c r="B59" s="18"/>
      <c r="C59" s="19"/>
      <c r="D59" s="19"/>
      <c r="E59" s="19"/>
      <c r="F59" s="20"/>
      <c r="G59" s="18"/>
      <c r="H59" s="18"/>
      <c r="I59" s="18"/>
      <c r="J59" s="19"/>
      <c r="K59" s="18"/>
      <c r="L59" s="18"/>
      <c r="M59" s="131" t="s">
        <v>122</v>
      </c>
      <c r="N59" s="161" t="s">
        <v>195</v>
      </c>
    </row>
    <row r="60" spans="1:31" ht="18" hidden="1" x14ac:dyDescent="0.25">
      <c r="A60" s="260" t="s">
        <v>62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</row>
    <row r="61" spans="1:31" ht="18" hidden="1" x14ac:dyDescent="0.25">
      <c r="A61" s="192"/>
      <c r="B61" s="192"/>
      <c r="C61" s="192"/>
      <c r="D61" s="192"/>
      <c r="E61" s="192"/>
      <c r="F61" s="22" t="s">
        <v>111</v>
      </c>
      <c r="G61" s="192"/>
      <c r="H61" s="192"/>
      <c r="I61" s="192"/>
      <c r="J61" s="192"/>
      <c r="K61" s="192"/>
      <c r="L61" s="192"/>
      <c r="M61" s="192"/>
      <c r="N61" s="87"/>
    </row>
    <row r="62" spans="1:31" ht="15.75" hidden="1" x14ac:dyDescent="0.25">
      <c r="A62" s="261" t="s">
        <v>112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U62" s="138" t="s">
        <v>63</v>
      </c>
      <c r="W62" s="138" t="s">
        <v>24</v>
      </c>
      <c r="Y62" s="138" t="s">
        <v>69</v>
      </c>
      <c r="AA62" s="138" t="s">
        <v>72</v>
      </c>
      <c r="AB62" s="138" t="s">
        <v>77</v>
      </c>
      <c r="AC62" s="138" t="s">
        <v>79</v>
      </c>
      <c r="AD62" s="138" t="s">
        <v>160</v>
      </c>
      <c r="AE62" s="138" t="s">
        <v>166</v>
      </c>
    </row>
    <row r="63" spans="1:31" ht="16.5" hidden="1" thickBot="1" x14ac:dyDescent="0.3">
      <c r="A63" s="24"/>
      <c r="B63" s="18"/>
      <c r="C63" s="19"/>
      <c r="D63" s="19"/>
      <c r="E63" s="19"/>
      <c r="F63" s="20"/>
      <c r="G63" s="20"/>
      <c r="H63" s="18"/>
      <c r="I63" s="18"/>
      <c r="J63" s="18"/>
      <c r="K63" s="19"/>
      <c r="L63" s="18"/>
      <c r="M63" s="18"/>
      <c r="N63" s="23"/>
      <c r="U63" s="138" t="s">
        <v>64</v>
      </c>
      <c r="W63" s="138" t="s">
        <v>82</v>
      </c>
      <c r="Y63" s="138" t="s">
        <v>70</v>
      </c>
      <c r="AA63" s="138" t="s">
        <v>73</v>
      </c>
      <c r="AB63" s="138" t="s">
        <v>29</v>
      </c>
      <c r="AC63" s="139">
        <v>2</v>
      </c>
      <c r="AD63" s="138" t="s">
        <v>161</v>
      </c>
      <c r="AE63" s="138">
        <v>0.65</v>
      </c>
    </row>
    <row r="64" spans="1:31" ht="15.75" hidden="1" thickBot="1" x14ac:dyDescent="0.3">
      <c r="A64" s="25" t="s">
        <v>23</v>
      </c>
      <c r="B64" s="26"/>
      <c r="C64" s="88"/>
      <c r="D64" s="250" t="s">
        <v>64</v>
      </c>
      <c r="E64" s="250"/>
      <c r="F64" s="262" t="s">
        <v>92</v>
      </c>
      <c r="G64" s="263"/>
      <c r="H64" s="264" t="e">
        <f>+#REF!</f>
        <v>#REF!</v>
      </c>
      <c r="I64" s="265"/>
      <c r="J64" s="266"/>
      <c r="K64" s="267" t="s">
        <v>81</v>
      </c>
      <c r="L64" s="268"/>
      <c r="M64" s="269" t="e">
        <f>+#REF!</f>
        <v>#REF!</v>
      </c>
      <c r="N64" s="270"/>
      <c r="U64" s="138" t="s">
        <v>65</v>
      </c>
      <c r="W64" s="138" t="s">
        <v>83</v>
      </c>
      <c r="Y64" s="138" t="s">
        <v>7</v>
      </c>
      <c r="AA64" s="138" t="s">
        <v>76</v>
      </c>
      <c r="AB64" s="138" t="s">
        <v>78</v>
      </c>
      <c r="AC64" s="139" t="s">
        <v>0</v>
      </c>
      <c r="AD64" s="138" t="s">
        <v>162</v>
      </c>
      <c r="AE64" s="138">
        <v>0.7</v>
      </c>
    </row>
    <row r="65" spans="1:31" ht="15.75" hidden="1" thickBot="1" x14ac:dyDescent="0.3">
      <c r="A65" s="21"/>
      <c r="B65" s="21"/>
      <c r="C65" s="21"/>
      <c r="D65" s="21"/>
      <c r="E65" s="21"/>
      <c r="F65" s="28"/>
      <c r="G65" s="28"/>
      <c r="H65" s="21"/>
      <c r="I65" s="21"/>
      <c r="J65" s="21"/>
      <c r="K65" s="21"/>
      <c r="L65" s="21"/>
      <c r="M65" s="21"/>
      <c r="N65" s="23"/>
      <c r="U65" s="138" t="s">
        <v>66</v>
      </c>
      <c r="W65" s="138" t="s">
        <v>68</v>
      </c>
      <c r="Y65" s="138" t="s">
        <v>27</v>
      </c>
      <c r="AA65" s="138" t="s">
        <v>74</v>
      </c>
      <c r="AC65" s="139" t="s">
        <v>1</v>
      </c>
      <c r="AD65" s="138" t="s">
        <v>163</v>
      </c>
      <c r="AE65" s="138">
        <v>0.8</v>
      </c>
    </row>
    <row r="66" spans="1:31" ht="15.75" hidden="1" thickBot="1" x14ac:dyDescent="0.3">
      <c r="A66" s="25" t="s">
        <v>24</v>
      </c>
      <c r="B66" s="26"/>
      <c r="C66" s="26"/>
      <c r="D66" s="249" t="s">
        <v>68</v>
      </c>
      <c r="E66" s="250"/>
      <c r="F66" s="251"/>
      <c r="G66" s="26"/>
      <c r="H66" s="29"/>
      <c r="I66" s="29"/>
      <c r="J66" s="26"/>
      <c r="K66" s="26"/>
      <c r="L66" s="26" t="s">
        <v>164</v>
      </c>
      <c r="M66" s="26"/>
      <c r="N66" s="211" t="s">
        <v>163</v>
      </c>
      <c r="U66" s="138" t="s">
        <v>67</v>
      </c>
      <c r="Y66" s="138" t="s">
        <v>9</v>
      </c>
      <c r="AA66" s="138" t="s">
        <v>75</v>
      </c>
      <c r="AC66" s="139" t="s">
        <v>2</v>
      </c>
      <c r="AE66" s="138">
        <v>0.9</v>
      </c>
    </row>
    <row r="67" spans="1:31" ht="15.75" hidden="1" thickBot="1" x14ac:dyDescent="0.3">
      <c r="A67" s="23" t="s">
        <v>25</v>
      </c>
      <c r="B67" s="23"/>
      <c r="C67" s="23"/>
      <c r="D67" s="23"/>
      <c r="E67" s="23"/>
      <c r="F67" s="23"/>
      <c r="G67" s="23"/>
      <c r="H67" s="23"/>
      <c r="I67" s="23"/>
      <c r="J67" s="23"/>
      <c r="K67" s="23" t="s">
        <v>168</v>
      </c>
      <c r="L67" s="208"/>
      <c r="M67" s="23"/>
      <c r="N67" s="43" t="str">
        <f>IF(N68="","",IF(N68="3F","220 / 127 V","240 / 120 V"))</f>
        <v>220 / 127 V</v>
      </c>
      <c r="AC67" s="141" t="s">
        <v>3</v>
      </c>
      <c r="AE67" s="138">
        <v>1</v>
      </c>
    </row>
    <row r="68" spans="1:31" ht="15.75" hidden="1" thickBot="1" x14ac:dyDescent="0.3">
      <c r="A68" s="30" t="s">
        <v>26</v>
      </c>
      <c r="B68" s="18"/>
      <c r="C68" s="23"/>
      <c r="D68" s="252" t="s">
        <v>70</v>
      </c>
      <c r="E68" s="253"/>
      <c r="F68" s="18"/>
      <c r="G68" s="18"/>
      <c r="H68" s="18"/>
      <c r="I68" s="18"/>
      <c r="J68" s="18"/>
      <c r="K68" s="23"/>
      <c r="L68" s="18" t="s">
        <v>169</v>
      </c>
      <c r="M68" s="18"/>
      <c r="N68" s="151" t="s">
        <v>78</v>
      </c>
      <c r="U68" s="138" t="s">
        <v>64</v>
      </c>
      <c r="W68" s="138" t="s">
        <v>29</v>
      </c>
      <c r="X68" s="138" t="s">
        <v>78</v>
      </c>
    </row>
    <row r="69" spans="1:31" ht="15.75" hidden="1" thickBot="1" x14ac:dyDescent="0.3">
      <c r="A69" s="23"/>
      <c r="B69" s="31"/>
      <c r="C69" s="23"/>
      <c r="D69" s="19"/>
      <c r="E69" s="32"/>
      <c r="F69" s="32"/>
      <c r="G69" s="20"/>
      <c r="H69" s="20"/>
      <c r="I69" s="20"/>
      <c r="J69" s="33"/>
      <c r="K69" s="21" t="s">
        <v>165</v>
      </c>
      <c r="L69" s="35"/>
      <c r="M69" s="18"/>
      <c r="N69" s="209">
        <v>0.8</v>
      </c>
      <c r="U69" s="138" t="s">
        <v>84</v>
      </c>
      <c r="W69" s="138">
        <v>10</v>
      </c>
      <c r="X69" s="138">
        <v>30</v>
      </c>
    </row>
    <row r="70" spans="1:31" ht="15.75" hidden="1" thickBot="1" x14ac:dyDescent="0.3">
      <c r="A70" s="36" t="s">
        <v>71</v>
      </c>
      <c r="B70" s="37"/>
      <c r="C70" s="37"/>
      <c r="D70" s="150" t="s">
        <v>73</v>
      </c>
      <c r="E70" s="38"/>
      <c r="F70" s="39"/>
      <c r="G70" s="39"/>
      <c r="H70" s="39"/>
      <c r="I70" s="39"/>
      <c r="J70" s="37"/>
      <c r="K70" s="36"/>
      <c r="L70" s="37"/>
      <c r="M70" s="89" t="s">
        <v>30</v>
      </c>
      <c r="N70" s="190" t="s">
        <v>129</v>
      </c>
      <c r="U70" s="138" t="s">
        <v>85</v>
      </c>
      <c r="W70" s="138">
        <v>15</v>
      </c>
      <c r="X70" s="138">
        <v>50</v>
      </c>
    </row>
    <row r="71" spans="1:31" ht="15.75" hidden="1" thickBot="1" x14ac:dyDescent="0.3">
      <c r="A71" s="41" t="s">
        <v>31</v>
      </c>
      <c r="B71" s="21"/>
      <c r="C71" s="21"/>
      <c r="D71" s="150">
        <v>19</v>
      </c>
      <c r="E71" s="21"/>
      <c r="F71" s="28"/>
      <c r="G71" s="42" t="s">
        <v>32</v>
      </c>
      <c r="H71" s="254" t="e">
        <f>+#REF!</f>
        <v>#REF!</v>
      </c>
      <c r="I71" s="255"/>
      <c r="J71" s="255"/>
      <c r="K71" s="41"/>
      <c r="L71" s="21"/>
      <c r="M71" s="115" t="s">
        <v>93</v>
      </c>
      <c r="N71" s="210">
        <f>+N72/N69</f>
        <v>118.72328783502078</v>
      </c>
      <c r="U71" s="138" t="s">
        <v>86</v>
      </c>
      <c r="W71" s="138">
        <v>25</v>
      </c>
      <c r="X71" s="138">
        <v>75</v>
      </c>
    </row>
    <row r="72" spans="1:31" ht="15.75" hidden="1" thickBot="1" x14ac:dyDescent="0.3">
      <c r="A72" s="41" t="s">
        <v>34</v>
      </c>
      <c r="B72" s="21"/>
      <c r="C72" s="21"/>
      <c r="D72" s="162">
        <v>330</v>
      </c>
      <c r="E72" s="41"/>
      <c r="F72" s="28"/>
      <c r="G72" s="42" t="s">
        <v>35</v>
      </c>
      <c r="H72" s="256" t="e">
        <f>+#REF!</f>
        <v>#REF!</v>
      </c>
      <c r="I72" s="257"/>
      <c r="J72" s="257"/>
      <c r="K72" s="41"/>
      <c r="L72" s="21"/>
      <c r="M72" s="115" t="s">
        <v>167</v>
      </c>
      <c r="N72" s="116">
        <f>IF($N$66="","",IF($N$66="INDUSTRIAL",IF(OR(D64="",D70="",D71=""),"",(IF(OR(D64="SAN CRISTOBAL",D64="FLOREANA"),VLOOKUP(D71,'Estratos SCY - FLO'!$A$4:$M$108,IF(D70="A1",2,IF(D70="A",5,IF(D70="B",8,11))),0),VLOOKUP(D71,'Estratos SCX - ISA'!$A$4:$M$108,IF(D70="A1",2,IF(D70="A",5,IF(D70="B",8,11))),0))+D72/920)*N69),IF(OR(D64="",D70="",D71=""),"",(IF(OR(D64="SAN CRISTOBAL",D64="FLOREANA"),VLOOKUP(D71,'Estratos SCY - FLO'!$O$4:$S$108,IF(D70="A1",2,IF(D70="A",3,IF(D70="B",4,5))),0),VLOOKUP(D71,'Estratos SCX - ISA'!$O$4:$S$108,IF(D70="A1",2,IF(D70="A",3,IF(D70="B",4,5))),0))+D72/920)*N69)))</f>
        <v>94.97863026801663</v>
      </c>
      <c r="U72" s="138" t="s">
        <v>87</v>
      </c>
      <c r="W72" s="138">
        <v>37.5</v>
      </c>
      <c r="X72" s="138">
        <v>100</v>
      </c>
    </row>
    <row r="73" spans="1:31" ht="37.5" hidden="1" customHeight="1" thickBot="1" x14ac:dyDescent="0.3">
      <c r="A73" s="258" t="str">
        <f>+IF(OR(N66="INDUSTRIAL"),"NOTA: Estratos:  A1 (Consumo-Alto); A (Consumo-Medio); B(Consumo-Bajo); C(Consumo-Mínimo)",IF(N66="","","NOTA: Estratos:  A1 (Casco Urbano-Sector hotelero);A (Barrios Centricos); B(Zona Periferica); C(Zona Rural)"))</f>
        <v>NOTA: Estratos:  A1 (Consumo-Alto); A (Consumo-Medio); B(Consumo-Bajo); C(Consumo-Mínimo)</v>
      </c>
      <c r="B73" s="259"/>
      <c r="C73" s="259"/>
      <c r="D73" s="259"/>
      <c r="E73" s="259"/>
      <c r="F73" s="259"/>
      <c r="G73" s="259"/>
      <c r="H73" s="259"/>
      <c r="I73" s="259"/>
      <c r="J73" s="259"/>
      <c r="K73" s="44"/>
      <c r="L73" s="34"/>
      <c r="M73" s="130" t="str">
        <f>+IF(OR(N68="",D70="",D71=""),"","POT. NOMINAL TRAFO. (KVA):")</f>
        <v>POT. NOMINAL TRAFO. (KVA):</v>
      </c>
      <c r="N73" s="117">
        <f>IF(OR(N68="",N69="",N69=0),"",IF(N68="1F",IF(N72&lt;$W$11,$W$11,IF(AND(N72&gt;$W$11,N72&lt;$W$12),$W$12,IF(AND(N72&gt;$W$12,N72&lt;$W$13),$W$13,IF(AND(N72&gt;$W$13,N72&lt;$W$14),$W$14,IF(AND(N72&gt;$W$14,N72&lt;$W$15),$W$15,IF(AND(N72&gt;$W$15,N72&lt;$W$16),$W$16,IF(AND(N72&gt;$W$16,N72&lt;$W$17),$W$17,IF(AND(N72&gt;$W$17,N72&lt;$W$18),$W$18,IF(AND(N72&gt;$W$18,N72&lt;$W$19),$W$19,""))))))))),IF($N$72&lt;$X$11,$X$11,IF(AND(N72&gt;$X$11,N72&lt;$X$12),$X$12,IF(AND(N72&gt;$X$12,N72&lt;$X$13),$X$13,IF(AND(N72&gt;$X$13,N72&lt;$X$14),$X$14,IF(AND(N72&gt;$X$14,N72&lt;$X$15),$X$15,IF(AND(N72&gt;$X$15,N72&lt;$X$16),$X$16,IF(AND(N72&gt;$X$16,N72&lt;$X$17),$X$17,"")))))))))</f>
        <v>100</v>
      </c>
      <c r="U73" s="138" t="s">
        <v>88</v>
      </c>
      <c r="W73" s="138">
        <v>50</v>
      </c>
      <c r="X73" s="138">
        <v>125</v>
      </c>
    </row>
    <row r="74" spans="1:31" ht="15.75" hidden="1" thickBot="1" x14ac:dyDescent="0.3">
      <c r="A74" s="21"/>
      <c r="B74" s="21"/>
      <c r="C74" s="21"/>
      <c r="D74" s="21"/>
      <c r="E74" s="21"/>
      <c r="F74" s="28"/>
      <c r="G74" s="28"/>
      <c r="H74" s="21"/>
      <c r="I74" s="21"/>
      <c r="J74" s="21"/>
      <c r="K74" s="21"/>
      <c r="L74" s="21"/>
      <c r="M74" s="21"/>
      <c r="N74" s="23"/>
      <c r="U74" s="138" t="s">
        <v>89</v>
      </c>
      <c r="W74" s="138">
        <v>75</v>
      </c>
      <c r="X74" s="138">
        <v>150</v>
      </c>
    </row>
    <row r="75" spans="1:31" ht="19.5" hidden="1" thickBot="1" x14ac:dyDescent="0.3">
      <c r="A75" s="46" t="s">
        <v>36</v>
      </c>
      <c r="B75" s="47"/>
      <c r="C75" s="47"/>
      <c r="D75" s="48" t="s">
        <v>37</v>
      </c>
      <c r="E75" s="49"/>
      <c r="F75" s="50"/>
      <c r="G75" s="50"/>
      <c r="H75" s="37"/>
      <c r="I75" s="37"/>
      <c r="J75" s="37"/>
      <c r="K75" s="37"/>
      <c r="L75" s="37"/>
      <c r="M75" s="37"/>
      <c r="N75" s="40"/>
      <c r="U75" s="138" t="s">
        <v>90</v>
      </c>
      <c r="W75" s="138">
        <v>100</v>
      </c>
      <c r="X75" s="138">
        <v>200</v>
      </c>
    </row>
    <row r="76" spans="1:31" ht="15.75" hidden="1" thickBot="1" x14ac:dyDescent="0.3">
      <c r="A76" s="41"/>
      <c r="B76" s="21"/>
      <c r="C76" s="21"/>
      <c r="D76" s="21"/>
      <c r="E76" s="21"/>
      <c r="F76" s="28"/>
      <c r="G76" s="28"/>
      <c r="H76" s="21"/>
      <c r="I76" s="21"/>
      <c r="J76" s="21"/>
      <c r="K76" s="21"/>
      <c r="L76" s="21" t="s">
        <v>186</v>
      </c>
      <c r="M76" s="21"/>
      <c r="N76" s="163"/>
      <c r="U76" s="138" t="s">
        <v>91</v>
      </c>
      <c r="W76" s="138">
        <v>112.5</v>
      </c>
    </row>
    <row r="77" spans="1:31" ht="15.75" hidden="1" thickBot="1" x14ac:dyDescent="0.3">
      <c r="A77" s="44"/>
      <c r="B77" s="34"/>
      <c r="C77" s="34"/>
      <c r="D77" s="34"/>
      <c r="E77" s="34"/>
      <c r="F77" s="45"/>
      <c r="G77" s="45"/>
      <c r="H77" s="34"/>
      <c r="I77" s="34"/>
      <c r="J77" s="34"/>
      <c r="K77" s="34"/>
      <c r="L77" s="113" t="s">
        <v>102</v>
      </c>
      <c r="M77" s="142"/>
      <c r="N77" s="163" t="s">
        <v>130</v>
      </c>
      <c r="W77" s="138">
        <v>125</v>
      </c>
    </row>
    <row r="78" spans="1:31" ht="15.75" hidden="1" thickBot="1" x14ac:dyDescent="0.3">
      <c r="A78" s="21"/>
      <c r="B78" s="21"/>
      <c r="C78" s="21"/>
      <c r="D78" s="21"/>
      <c r="E78" s="21"/>
      <c r="F78" s="28"/>
      <c r="G78" s="28"/>
      <c r="H78" s="21"/>
      <c r="I78" s="21"/>
      <c r="J78" s="21"/>
      <c r="K78" s="21"/>
      <c r="L78" s="21"/>
      <c r="M78" s="21"/>
      <c r="N78" s="23"/>
    </row>
    <row r="79" spans="1:31" ht="15.75" hidden="1" thickBot="1" x14ac:dyDescent="0.3">
      <c r="A79" s="244" t="s">
        <v>38</v>
      </c>
      <c r="B79" s="245"/>
      <c r="C79" s="52" t="s">
        <v>39</v>
      </c>
      <c r="D79" s="52" t="s">
        <v>40</v>
      </c>
      <c r="E79" s="53" t="s">
        <v>41</v>
      </c>
      <c r="F79" s="53" t="s">
        <v>42</v>
      </c>
      <c r="G79" s="244" t="s">
        <v>43</v>
      </c>
      <c r="H79" s="246"/>
      <c r="I79" s="246"/>
      <c r="J79" s="245"/>
      <c r="K79" s="247" t="s">
        <v>44</v>
      </c>
      <c r="L79" s="246" t="s">
        <v>45</v>
      </c>
      <c r="M79" s="246"/>
      <c r="N79" s="245"/>
      <c r="U79" s="236" t="s">
        <v>98</v>
      </c>
      <c r="V79" s="236" t="s">
        <v>99</v>
      </c>
    </row>
    <row r="80" spans="1:31" ht="15.75" hidden="1" thickBot="1" x14ac:dyDescent="0.3">
      <c r="A80" s="52" t="s">
        <v>46</v>
      </c>
      <c r="B80" s="52" t="s">
        <v>47</v>
      </c>
      <c r="C80" s="54" t="s">
        <v>48</v>
      </c>
      <c r="D80" s="54" t="s">
        <v>49</v>
      </c>
      <c r="E80" s="55" t="s">
        <v>50</v>
      </c>
      <c r="F80" s="55" t="s">
        <v>51</v>
      </c>
      <c r="G80" s="56" t="s">
        <v>52</v>
      </c>
      <c r="H80" s="43" t="s">
        <v>105</v>
      </c>
      <c r="I80" s="124" t="s">
        <v>106</v>
      </c>
      <c r="J80" s="43" t="s">
        <v>53</v>
      </c>
      <c r="K80" s="248"/>
      <c r="L80" s="53" t="s">
        <v>54</v>
      </c>
      <c r="M80" s="43" t="s">
        <v>55</v>
      </c>
      <c r="N80" s="57" t="s">
        <v>56</v>
      </c>
      <c r="U80" s="236"/>
      <c r="V80" s="236"/>
    </row>
    <row r="81" spans="1:22" hidden="1" x14ac:dyDescent="0.25">
      <c r="A81" s="191" t="str">
        <f>IF(N77="","",N77)</f>
        <v>P18</v>
      </c>
      <c r="B81" s="164" t="s">
        <v>133</v>
      </c>
      <c r="C81" s="165">
        <v>29</v>
      </c>
      <c r="D81" s="165">
        <v>7</v>
      </c>
      <c r="E81" s="166">
        <v>110</v>
      </c>
      <c r="F81" s="193">
        <f>IF($N$66="","",IF($N$66="INDUSTRIAL",IF(OR($D$64="",$D$70=""),"",IF(OR(D81&gt;$D$71,E81&gt;$D$72),"Rev. Total. abona.",IF(D81="",IF(E81="","",E81/(0.92*1000)),IF(OR($D$64="SAN CRISTOBAL",$D$64="FLOREANA"),VLOOKUP(D81,'Estratos SCY - FLO'!$A$4:$M$108,IF($D$70="A1",2,IF($D$70="A",5,IF($D$70="B",8,11))))+E81/(0.92*1000),VLOOKUP(D81,'Estratos SCX - ISA'!$A$3:$M$107,IF($D$70="A1",2,IF($D$70="A",5,IF($D$70="B",8,11))))+E81/(0.92*1000))))),IF(OR($D$64="",$D$70=""),"",IF(OR(D81&gt;$D$71,E81&gt;$D$72),"Rev. Total. abona.",IF(D81="",IF(E81="","",E81/(0.92*1000)),IF(OR($D$64="SAN CRISTOBAL",$D$64="FLOREANA"),VLOOKUP(D81,'Estratos SCY - FLO'!$O$4:$S$108,IF($D$70="A1",2,IF($D$70="A",3,IF($D$70="B",4,5))))+E81/(0.92*1000),VLOOKUP(D81,'Estratos SCX - ISA'!$O$4:$S$108,IF($D$70="A1",2,IF($D$70="A",3,IF($D$70="B",4,5))))+E81/(0.92*1000)))))))</f>
        <v>47.828008479129984</v>
      </c>
      <c r="G81" s="95">
        <f>IF(OR($N$10="",C81=""),"",IF($N$10="1F",1,3))</f>
        <v>1</v>
      </c>
      <c r="H81" s="182" t="s">
        <v>1</v>
      </c>
      <c r="I81" s="182" t="s">
        <v>1</v>
      </c>
      <c r="J81" s="95">
        <f>IF(OR(H81="",$D$10="",$N$10=""),"",IF($D$10="COBRE",VLOOKUP(CDV_PROY_BT!H81,FDV!$B$16:$E$24,IF(CDV_PROY_BT!$N$10="3F",3,4),FALSE),IF($D$10="ACS",VLOOKUP(CDV_PROY_BT!H81,FDV!$B$10:$E$15,IF(CDV_PROY_BT!$N$10="3F",3,4),FALSE),IF($D$10="5005 (PREENSAMBLADO)",VLOOKUP(CDV_PROY_BT!H81,FDV!$B$4:$E$9,IF(CDV_PROY_BT!$N$10="3F",3,4),FALSE),VLOOKUP(CDV_PROY_BT!H81,FDV!$B$25:$E$30,IF(CDV_PROY_BT!$N$10="3F",3,4),FALSE)))))</f>
        <v>495</v>
      </c>
      <c r="K81" s="60">
        <f t="shared" ref="K81:K108" si="9">IF(C81="","",ROUND(F81*C81,0))</f>
        <v>1387</v>
      </c>
      <c r="L81" s="61">
        <f>IF($N$19="","",IF(C81="","",ROUND(K81/J81,2)))</f>
        <v>2.8</v>
      </c>
      <c r="M81" s="61">
        <f>IF(C81="","",VLOOKUP(A81,$B$81:$N$108,12,FALSE)+L81+N76)</f>
        <v>2.8</v>
      </c>
      <c r="N81" s="154">
        <f>+M81</f>
        <v>2.8</v>
      </c>
      <c r="U81" s="138">
        <f>+IF(C81="",0,C81)</f>
        <v>29</v>
      </c>
      <c r="V81" s="138">
        <f>IF(OR(C81="",G81=""),0,C81*G81)</f>
        <v>29</v>
      </c>
    </row>
    <row r="82" spans="1:22" hidden="1" x14ac:dyDescent="0.25">
      <c r="A82" s="167" t="s">
        <v>130</v>
      </c>
      <c r="B82" s="168" t="s">
        <v>131</v>
      </c>
      <c r="C82" s="169">
        <v>29</v>
      </c>
      <c r="D82" s="169">
        <v>8</v>
      </c>
      <c r="E82" s="170">
        <v>110</v>
      </c>
      <c r="F82" s="62">
        <f>IF($N$66="","",IF($N$66="INDUSTRIAL",IF(OR($D$64="",$D$70=""),"",IF(OR(D82&gt;$D$71,E82&gt;$D$72),"Rev. Total. abona.",IF(D82="",IF(E82="","",E82/(0.92*1000)),IF(OR($D$64="SAN CRISTOBAL",$D$64="FLOREANA"),VLOOKUP(D82,'Estratos SCY - FLO'!$A$4:$M$108,IF($D$70="A1",2,IF($D$70="A",5,IF($D$70="B",8,11))))+E82/(0.92*1000),VLOOKUP(D82,'Estratos SCX - ISA'!$A$3:$M$107,IF($D$70="A1",2,IF($D$70="A",5,IF($D$70="B",8,11))))+E82/(0.92*1000))))),IF(OR($D$64="",$D$70=""),"",IF(OR(D82&gt;$D$71,E82&gt;$D$72),"Rev. Total. abona.",IF(D82="",IF(E82="","",E82/(0.92*1000)),IF(OR($D$64="SAN CRISTOBAL",$D$64="FLOREANA"),VLOOKUP(D82,'Estratos SCY - FLO'!$O$4:$S$108,IF($D$70="A1",2,IF($D$70="A",3,IF($D$70="B",4,5))))+E82/(0.92*1000),VLOOKUP(D82,'Estratos SCX - ISA'!$O$4:$S$108,IF($D$70="A1",2,IF($D$70="A",3,IF($D$70="B",4,5))))+E82/(0.92*1000)))))))</f>
        <v>53.992162913497431</v>
      </c>
      <c r="G82" s="59">
        <f t="shared" ref="G82:G108" si="10">IF(OR($N$10="",C82=""),"",IF($N$10="1F",1,3))</f>
        <v>1</v>
      </c>
      <c r="H82" s="183" t="s">
        <v>1</v>
      </c>
      <c r="I82" s="183" t="s">
        <v>1</v>
      </c>
      <c r="J82" s="59">
        <f>IF(OR(H82="",$D$10="",$N$10=""),"",IF($D$10="COBRE",VLOOKUP(CDV_PROY_BT!H82,FDV!$B$16:$E$24,IF(CDV_PROY_BT!$N$10="3F",3,4),FALSE),IF($D$10="ACS",VLOOKUP(CDV_PROY_BT!H82,FDV!$B$10:$E$15,IF(CDV_PROY_BT!$N$10="3F",3,4),FALSE),IF($D$10="5005 (PREENSAMBLADO)",VLOOKUP(CDV_PROY_BT!H82,FDV!$B$4:$E$9,IF(CDV_PROY_BT!$N$10="3F",3,4),FALSE),VLOOKUP(CDV_PROY_BT!H82,FDV!$B$25:$E$30,IF(CDV_PROY_BT!$N$10="3F",3,4),FALSE)))))</f>
        <v>495</v>
      </c>
      <c r="K82" s="63">
        <f t="shared" si="9"/>
        <v>1566</v>
      </c>
      <c r="L82" s="62">
        <f t="shared" ref="L82:L107" si="11">IF($N$19="","",IF(C82="","",ROUND(K82/J82,2)))</f>
        <v>3.16</v>
      </c>
      <c r="M82" s="62">
        <f t="shared" ref="M82:M107" si="12">IF(C82="","",VLOOKUP(A82,$B$81:$N$108,12,FALSE)+L82)</f>
        <v>3.16</v>
      </c>
      <c r="N82" s="155">
        <f>+M82</f>
        <v>3.16</v>
      </c>
      <c r="U82" s="138">
        <f t="shared" ref="U82:U107" si="13">+IF(C82="",0,C82)</f>
        <v>29</v>
      </c>
      <c r="V82" s="138">
        <f t="shared" ref="V82:V107" si="14">IF(OR(C82="",G82=""),0,C82*G82)</f>
        <v>29</v>
      </c>
    </row>
    <row r="83" spans="1:22" hidden="1" x14ac:dyDescent="0.25">
      <c r="A83" s="167"/>
      <c r="B83" s="168"/>
      <c r="C83" s="169"/>
      <c r="D83" s="169"/>
      <c r="E83" s="170"/>
      <c r="F83" s="58" t="str">
        <f>IF($N$66="","",IF($N$66="INDUSTRIAL",IF(OR($D$64="",$D$70=""),"",IF(OR(D83&gt;$D$71,E83&gt;$D$72),"Rev. Total. abona.",IF(D83="",IF(E83="","",E83/(0.92*1000)),IF(OR($D$64="SAN CRISTOBAL",$D$64="FLOREANA"),VLOOKUP(D83,'Estratos SCY - FLO'!$A$4:$M$108,IF($D$70="A1",2,IF($D$70="A",5,IF($D$70="B",8,11))))+E83/(0.92*1000),VLOOKUP(D83,'Estratos SCX - ISA'!$A$3:$M$107,IF($D$70="A1",2,IF($D$70="A",5,IF($D$70="B",8,11))))+E83/(0.92*1000))))),IF(OR($D$64="",$D$70=""),"",IF(OR(D83&gt;$D$71,E83&gt;$D$72),"Rev. Total. abona.",IF(D83="",IF(E83="","",E83/(0.92*1000)),IF(OR($D$64="SAN CRISTOBAL",$D$64="FLOREANA"),VLOOKUP(D83,'Estratos SCY - FLO'!$O$4:$S$108,IF($D$70="A1",2,IF($D$70="A",3,IF($D$70="B",4,5))))+E83/(0.92*1000),VLOOKUP(D83,'Estratos SCX - ISA'!$O$4:$S$108,IF($D$70="A1",2,IF($D$70="A",3,IF($D$70="B",4,5))))+E83/(0.92*1000)))))))</f>
        <v/>
      </c>
      <c r="G83" s="59" t="str">
        <f t="shared" si="10"/>
        <v/>
      </c>
      <c r="H83" s="183"/>
      <c r="I83" s="183"/>
      <c r="J83" s="59" t="str">
        <f>IF(OR(H83="",$D$10="",$N$10=""),"",IF($D$10="COBRE",VLOOKUP(CDV_PROY_BT!H83,FDV!$B$16:$E$24,IF(CDV_PROY_BT!$N$10="3F",3,4),FALSE),IF($D$10="ACS",VLOOKUP(CDV_PROY_BT!H83,FDV!$B$10:$E$15,IF(CDV_PROY_BT!$N$10="3F",3,4),FALSE),IF($D$10="5005 (PREENSAMBLADO)",VLOOKUP(CDV_PROY_BT!H83,FDV!$B$4:$E$9,IF(CDV_PROY_BT!$N$10="3F",3,4),FALSE),VLOOKUP(CDV_PROY_BT!H83,FDV!$B$25:$E$30,IF(CDV_PROY_BT!$N$10="3F",3,4),FALSE)))))</f>
        <v/>
      </c>
      <c r="K83" s="63" t="str">
        <f t="shared" si="9"/>
        <v/>
      </c>
      <c r="L83" s="62" t="str">
        <f t="shared" si="11"/>
        <v/>
      </c>
      <c r="M83" s="62" t="str">
        <f t="shared" si="12"/>
        <v/>
      </c>
      <c r="N83" s="155"/>
      <c r="U83" s="138">
        <f t="shared" si="13"/>
        <v>0</v>
      </c>
      <c r="V83" s="138">
        <f t="shared" si="14"/>
        <v>0</v>
      </c>
    </row>
    <row r="84" spans="1:22" hidden="1" x14ac:dyDescent="0.25">
      <c r="A84" s="167"/>
      <c r="B84" s="168"/>
      <c r="C84" s="169"/>
      <c r="D84" s="169"/>
      <c r="E84" s="170"/>
      <c r="F84" s="58" t="str">
        <f>IF($N$66="","",IF($N$66="INDUSTRIAL",IF(OR($D$64="",$D$70=""),"",IF(OR(D84&gt;$D$71,E84&gt;$D$72),"Rev. Total. abona.",IF(D84="",IF(E84="","",E84/(0.92*1000)),IF(OR($D$64="SAN CRISTOBAL",$D$64="FLOREANA"),VLOOKUP(D84,'Estratos SCY - FLO'!$A$4:$M$108,IF($D$70="A1",2,IF($D$70="A",5,IF($D$70="B",8,11))))+E84/(0.92*1000),VLOOKUP(D84,'Estratos SCX - ISA'!$A$3:$M$107,IF($D$70="A1",2,IF($D$70="A",5,IF($D$70="B",8,11))))+E84/(0.92*1000))))),IF(OR($D$64="",$D$70=""),"",IF(OR(D84&gt;$D$71,E84&gt;$D$72),"Rev. Total. abona.",IF(D84="",IF(E84="","",E84/(0.92*1000)),IF(OR($D$64="SAN CRISTOBAL",$D$64="FLOREANA"),VLOOKUP(D84,'Estratos SCY - FLO'!$O$4:$S$108,IF($D$70="A1",2,IF($D$70="A",3,IF($D$70="B",4,5))))+E84/(0.92*1000),VLOOKUP(D84,'Estratos SCX - ISA'!$O$4:$S$108,IF($D$70="A1",2,IF($D$70="A",3,IF($D$70="B",4,5))))+E84/(0.92*1000)))))))</f>
        <v/>
      </c>
      <c r="G84" s="59" t="str">
        <f t="shared" si="10"/>
        <v/>
      </c>
      <c r="H84" s="183"/>
      <c r="I84" s="183"/>
      <c r="J84" s="59" t="str">
        <f>IF(OR(H84="",$D$10="",$N$10=""),"",IF($D$10="COBRE",VLOOKUP(CDV_PROY_BT!H84,FDV!$B$16:$E$24,IF(CDV_PROY_BT!$N$10="3F",3,4),FALSE),IF($D$10="ACS",VLOOKUP(CDV_PROY_BT!H84,FDV!$B$10:$E$15,IF(CDV_PROY_BT!$N$10="3F",3,4),FALSE),IF($D$10="5005 (PREENSAMBLADO)",VLOOKUP(CDV_PROY_BT!H84,FDV!$B$4:$E$9,IF(CDV_PROY_BT!$N$10="3F",3,4),FALSE),VLOOKUP(CDV_PROY_BT!H84,FDV!$B$25:$E$30,IF(CDV_PROY_BT!$N$10="3F",3,4),FALSE)))))</f>
        <v/>
      </c>
      <c r="K84" s="63" t="str">
        <f t="shared" si="9"/>
        <v/>
      </c>
      <c r="L84" s="62" t="str">
        <f t="shared" si="11"/>
        <v/>
      </c>
      <c r="M84" s="62" t="str">
        <f t="shared" si="12"/>
        <v/>
      </c>
      <c r="N84" s="155"/>
      <c r="U84" s="138">
        <f t="shared" si="13"/>
        <v>0</v>
      </c>
      <c r="V84" s="138">
        <f t="shared" si="14"/>
        <v>0</v>
      </c>
    </row>
    <row r="85" spans="1:22" hidden="1" x14ac:dyDescent="0.25">
      <c r="A85" s="167"/>
      <c r="B85" s="168"/>
      <c r="C85" s="169"/>
      <c r="D85" s="169"/>
      <c r="E85" s="170"/>
      <c r="F85" s="58" t="str">
        <f>IF($N$66="","",IF($N$66="INDUSTRIAL",IF(OR($D$64="",$D$70=""),"",IF(OR(D85&gt;$D$71,E85&gt;$D$72),"Rev. Total. abona.",IF(D85="",IF(E85="","",E85/(0.92*1000)),IF(OR($D$64="SAN CRISTOBAL",$D$64="FLOREANA"),VLOOKUP(D85,'Estratos SCY - FLO'!$A$4:$M$108,IF($D$70="A1",2,IF($D$70="A",5,IF($D$70="B",8,11))))+E85/(0.92*1000),VLOOKUP(D85,'Estratos SCX - ISA'!$A$3:$M$107,IF($D$70="A1",2,IF($D$70="A",5,IF($D$70="B",8,11))))+E85/(0.92*1000))))),IF(OR($D$64="",$D$70=""),"",IF(OR(D85&gt;$D$71,E85&gt;$D$72),"Rev. Total. abona.",IF(D85="",IF(E85="","",E85/(0.92*1000)),IF(OR($D$64="SAN CRISTOBAL",$D$64="FLOREANA"),VLOOKUP(D85,'Estratos SCY - FLO'!$O$4:$S$108,IF($D$70="A1",2,IF($D$70="A",3,IF($D$70="B",4,5))))+E85/(0.92*1000),VLOOKUP(D85,'Estratos SCX - ISA'!$O$4:$S$108,IF($D$70="A1",2,IF($D$70="A",3,IF($D$70="B",4,5))))+E85/(0.92*1000)))))))</f>
        <v/>
      </c>
      <c r="G85" s="59" t="str">
        <f t="shared" si="10"/>
        <v/>
      </c>
      <c r="H85" s="183"/>
      <c r="I85" s="183"/>
      <c r="J85" s="59" t="str">
        <f>IF(OR(H85="",$D$10="",$N$10=""),"",IF($D$10="COBRE",VLOOKUP(CDV_PROY_BT!H85,FDV!$B$16:$E$24,IF(CDV_PROY_BT!$N$10="3F",3,4),FALSE),IF($D$10="ACS",VLOOKUP(CDV_PROY_BT!H85,FDV!$B$10:$E$15,IF(CDV_PROY_BT!$N$10="3F",3,4),FALSE),IF($D$10="5005 (PREENSAMBLADO)",VLOOKUP(CDV_PROY_BT!H85,FDV!$B$4:$E$9,IF(CDV_PROY_BT!$N$10="3F",3,4),FALSE),VLOOKUP(CDV_PROY_BT!H85,FDV!$B$25:$E$30,IF(CDV_PROY_BT!$N$10="3F",3,4),FALSE)))))</f>
        <v/>
      </c>
      <c r="K85" s="63" t="str">
        <f t="shared" si="9"/>
        <v/>
      </c>
      <c r="L85" s="62" t="str">
        <f t="shared" si="11"/>
        <v/>
      </c>
      <c r="M85" s="62" t="str">
        <f t="shared" si="12"/>
        <v/>
      </c>
      <c r="N85" s="155"/>
      <c r="U85" s="138">
        <f t="shared" si="13"/>
        <v>0</v>
      </c>
      <c r="V85" s="138">
        <f t="shared" si="14"/>
        <v>0</v>
      </c>
    </row>
    <row r="86" spans="1:22" hidden="1" x14ac:dyDescent="0.25">
      <c r="A86" s="167"/>
      <c r="B86" s="168"/>
      <c r="C86" s="169"/>
      <c r="D86" s="169"/>
      <c r="E86" s="170"/>
      <c r="F86" s="58" t="str">
        <f>IF($N$66="","",IF($N$66="INDUSTRIAL",IF(OR($D$64="",$D$70=""),"",IF(OR(D86&gt;$D$71,E86&gt;$D$72),"Rev. Total. abona.",IF(D86="",IF(E86="","",E86/(0.92*1000)),IF(OR($D$64="SAN CRISTOBAL",$D$64="FLOREANA"),VLOOKUP(D86,'Estratos SCY - FLO'!$A$4:$M$108,IF($D$70="A1",2,IF($D$70="A",5,IF($D$70="B",8,11))))+E86/(0.92*1000),VLOOKUP(D86,'Estratos SCX - ISA'!$A$3:$M$107,IF($D$70="A1",2,IF($D$70="A",5,IF($D$70="B",8,11))))+E86/(0.92*1000))))),IF(OR($D$64="",$D$70=""),"",IF(OR(D86&gt;$D$71,E86&gt;$D$72),"Rev. Total. abona.",IF(D86="",IF(E86="","",E86/(0.92*1000)),IF(OR($D$64="SAN CRISTOBAL",$D$64="FLOREANA"),VLOOKUP(D86,'Estratos SCY - FLO'!$O$4:$S$108,IF($D$70="A1",2,IF($D$70="A",3,IF($D$70="B",4,5))))+E86/(0.92*1000),VLOOKUP(D86,'Estratos SCX - ISA'!$O$4:$S$108,IF($D$70="A1",2,IF($D$70="A",3,IF($D$70="B",4,5))))+E86/(0.92*1000)))))))</f>
        <v/>
      </c>
      <c r="G86" s="59" t="str">
        <f t="shared" si="10"/>
        <v/>
      </c>
      <c r="H86" s="183"/>
      <c r="I86" s="183"/>
      <c r="J86" s="59" t="str">
        <f>IF(OR(H86="",$D$10="",$N$10=""),"",IF($D$10="COBRE",VLOOKUP(CDV_PROY_BT!H86,FDV!$B$16:$E$24,IF(CDV_PROY_BT!$N$10="3F",3,4),FALSE),IF($D$10="ACS",VLOOKUP(CDV_PROY_BT!H86,FDV!$B$10:$E$15,IF(CDV_PROY_BT!$N$10="3F",3,4),FALSE),IF($D$10="5005 (PREENSAMBLADO)",VLOOKUP(CDV_PROY_BT!H86,FDV!$B$4:$E$9,IF(CDV_PROY_BT!$N$10="3F",3,4),FALSE),VLOOKUP(CDV_PROY_BT!H86,FDV!$B$25:$E$30,IF(CDV_PROY_BT!$N$10="3F",3,4),FALSE)))))</f>
        <v/>
      </c>
      <c r="K86" s="63" t="str">
        <f t="shared" si="9"/>
        <v/>
      </c>
      <c r="L86" s="62" t="str">
        <f t="shared" si="11"/>
        <v/>
      </c>
      <c r="M86" s="62" t="str">
        <f t="shared" si="12"/>
        <v/>
      </c>
      <c r="N86" s="155"/>
      <c r="U86" s="138">
        <f t="shared" si="13"/>
        <v>0</v>
      </c>
      <c r="V86" s="138">
        <f t="shared" si="14"/>
        <v>0</v>
      </c>
    </row>
    <row r="87" spans="1:22" hidden="1" x14ac:dyDescent="0.25">
      <c r="A87" s="167"/>
      <c r="B87" s="168"/>
      <c r="C87" s="169"/>
      <c r="D87" s="169"/>
      <c r="E87" s="170"/>
      <c r="F87" s="58" t="str">
        <f>IF($N$66="","",IF($N$66="INDUSTRIAL",IF(OR($D$64="",$D$70=""),"",IF(OR(D87&gt;$D$71,E87&gt;$D$72),"Rev. Total. abona.",IF(D87="",IF(E87="","",E87/(0.92*1000)),IF(OR($D$64="SAN CRISTOBAL",$D$64="FLOREANA"),VLOOKUP(D87,'Estratos SCY - FLO'!$A$4:$M$108,IF($D$70="A1",2,IF($D$70="A",5,IF($D$70="B",8,11))))+E87/(0.92*1000),VLOOKUP(D87,'Estratos SCX - ISA'!$A$3:$M$107,IF($D$70="A1",2,IF($D$70="A",5,IF($D$70="B",8,11))))+E87/(0.92*1000))))),IF(OR($D$64="",$D$70=""),"",IF(OR(D87&gt;$D$71,E87&gt;$D$72),"Rev. Total. abona.",IF(D87="",IF(E87="","",E87/(0.92*1000)),IF(OR($D$64="SAN CRISTOBAL",$D$64="FLOREANA"),VLOOKUP(D87,'Estratos SCY - FLO'!$O$4:$S$108,IF($D$70="A1",2,IF($D$70="A",3,IF($D$70="B",4,5))))+E87/(0.92*1000),VLOOKUP(D87,'Estratos SCX - ISA'!$O$4:$S$108,IF($D$70="A1",2,IF($D$70="A",3,IF($D$70="B",4,5))))+E87/(0.92*1000)))))))</f>
        <v/>
      </c>
      <c r="G87" s="59" t="str">
        <f t="shared" si="10"/>
        <v/>
      </c>
      <c r="H87" s="183"/>
      <c r="I87" s="183"/>
      <c r="J87" s="59" t="str">
        <f>IF(OR(H87="",$D$10="",$N$10=""),"",IF($D$10="COBRE",VLOOKUP(CDV_PROY_BT!H87,FDV!$B$16:$E$24,IF(CDV_PROY_BT!$N$10="3F",3,4),FALSE),IF($D$10="ACS",VLOOKUP(CDV_PROY_BT!H87,FDV!$B$10:$E$15,IF(CDV_PROY_BT!$N$10="3F",3,4),FALSE),IF($D$10="5005 (PREENSAMBLADO)",VLOOKUP(CDV_PROY_BT!H87,FDV!$B$4:$E$9,IF(CDV_PROY_BT!$N$10="3F",3,4),FALSE),VLOOKUP(CDV_PROY_BT!H87,FDV!$B$25:$E$30,IF(CDV_PROY_BT!$N$10="3F",3,4),FALSE)))))</f>
        <v/>
      </c>
      <c r="K87" s="63" t="str">
        <f t="shared" si="9"/>
        <v/>
      </c>
      <c r="L87" s="62" t="str">
        <f t="shared" si="11"/>
        <v/>
      </c>
      <c r="M87" s="62" t="str">
        <f t="shared" si="12"/>
        <v/>
      </c>
      <c r="N87" s="155"/>
      <c r="U87" s="138">
        <f t="shared" si="13"/>
        <v>0</v>
      </c>
      <c r="V87" s="138">
        <f t="shared" si="14"/>
        <v>0</v>
      </c>
    </row>
    <row r="88" spans="1:22" hidden="1" x14ac:dyDescent="0.25">
      <c r="A88" s="167"/>
      <c r="B88" s="168"/>
      <c r="C88" s="169"/>
      <c r="D88" s="169"/>
      <c r="E88" s="170"/>
      <c r="F88" s="58" t="str">
        <f>IF($N$66="","",IF($N$66="INDUSTRIAL",IF(OR($D$64="",$D$70=""),"",IF(OR(D88&gt;$D$71,E88&gt;$D$72),"Rev. Total. abona.",IF(D88="",IF(E88="","",E88/(0.92*1000)),IF(OR($D$64="SAN CRISTOBAL",$D$64="FLOREANA"),VLOOKUP(D88,'Estratos SCY - FLO'!$A$4:$M$108,IF($D$70="A1",2,IF($D$70="A",5,IF($D$70="B",8,11))))+E88/(0.92*1000),VLOOKUP(D88,'Estratos SCX - ISA'!$A$3:$M$107,IF($D$70="A1",2,IF($D$70="A",5,IF($D$70="B",8,11))))+E88/(0.92*1000))))),IF(OR($D$64="",$D$70=""),"",IF(OR(D88&gt;$D$71,E88&gt;$D$72),"Rev. Total. abona.",IF(D88="",IF(E88="","",E88/(0.92*1000)),IF(OR($D$64="SAN CRISTOBAL",$D$64="FLOREANA"),VLOOKUP(D88,'Estratos SCY - FLO'!$O$4:$S$108,IF($D$70="A1",2,IF($D$70="A",3,IF($D$70="B",4,5))))+E88/(0.92*1000),VLOOKUP(D88,'Estratos SCX - ISA'!$O$4:$S$108,IF($D$70="A1",2,IF($D$70="A",3,IF($D$70="B",4,5))))+E88/(0.92*1000)))))))</f>
        <v/>
      </c>
      <c r="G88" s="59" t="str">
        <f t="shared" si="10"/>
        <v/>
      </c>
      <c r="H88" s="183"/>
      <c r="I88" s="183"/>
      <c r="J88" s="59" t="str">
        <f>IF(OR(H88="",$D$10="",$N$10=""),"",IF($D$10="COBRE",VLOOKUP(CDV_PROY_BT!H88,FDV!$B$16:$E$24,IF(CDV_PROY_BT!$N$10="3F",3,4),FALSE),IF($D$10="ACS",VLOOKUP(CDV_PROY_BT!H88,FDV!$B$10:$E$15,IF(CDV_PROY_BT!$N$10="3F",3,4),FALSE),IF($D$10="5005 (PREENSAMBLADO)",VLOOKUP(CDV_PROY_BT!H88,FDV!$B$4:$E$9,IF(CDV_PROY_BT!$N$10="3F",3,4),FALSE),VLOOKUP(CDV_PROY_BT!H88,FDV!$B$25:$E$30,IF(CDV_PROY_BT!$N$10="3F",3,4),FALSE)))))</f>
        <v/>
      </c>
      <c r="K88" s="63" t="str">
        <f t="shared" si="9"/>
        <v/>
      </c>
      <c r="L88" s="62" t="str">
        <f t="shared" si="11"/>
        <v/>
      </c>
      <c r="M88" s="62" t="str">
        <f t="shared" si="12"/>
        <v/>
      </c>
      <c r="N88" s="155"/>
      <c r="U88" s="138">
        <f t="shared" si="13"/>
        <v>0</v>
      </c>
      <c r="V88" s="138">
        <f t="shared" si="14"/>
        <v>0</v>
      </c>
    </row>
    <row r="89" spans="1:22" hidden="1" x14ac:dyDescent="0.25">
      <c r="A89" s="171"/>
      <c r="B89" s="172"/>
      <c r="C89" s="173"/>
      <c r="D89" s="173"/>
      <c r="E89" s="170"/>
      <c r="F89" s="58" t="str">
        <f>IF($N$66="","",IF($N$66="INDUSTRIAL",IF(OR($D$64="",$D$70=""),"",IF(OR(D89&gt;$D$71,E89&gt;$D$72),"Rev. Total. abona.",IF(D89="",IF(E89="","",E89/(0.92*1000)),IF(OR($D$64="SAN CRISTOBAL",$D$64="FLOREANA"),VLOOKUP(D89,'Estratos SCY - FLO'!$A$4:$M$108,IF($D$70="A1",2,IF($D$70="A",5,IF($D$70="B",8,11))))+E89/(0.92*1000),VLOOKUP(D89,'Estratos SCX - ISA'!$A$3:$M$107,IF($D$70="A1",2,IF($D$70="A",5,IF($D$70="B",8,11))))+E89/(0.92*1000))))),IF(OR($D$64="",$D$70=""),"",IF(OR(D89&gt;$D$71,E89&gt;$D$72),"Rev. Total. abona.",IF(D89="",IF(E89="","",E89/(0.92*1000)),IF(OR($D$64="SAN CRISTOBAL",$D$64="FLOREANA"),VLOOKUP(D89,'Estratos SCY - FLO'!$O$4:$S$108,IF($D$70="A1",2,IF($D$70="A",3,IF($D$70="B",4,5))))+E89/(0.92*1000),VLOOKUP(D89,'Estratos SCX - ISA'!$O$4:$S$108,IF($D$70="A1",2,IF($D$70="A",3,IF($D$70="B",4,5))))+E89/(0.92*1000)))))))</f>
        <v/>
      </c>
      <c r="G89" s="59" t="str">
        <f t="shared" si="10"/>
        <v/>
      </c>
      <c r="H89" s="183"/>
      <c r="I89" s="183"/>
      <c r="J89" s="59" t="str">
        <f>IF(OR(H89="",$D$10="",$N$10=""),"",IF($D$10="COBRE",VLOOKUP(CDV_PROY_BT!H89,FDV!$B$16:$E$24,IF(CDV_PROY_BT!$N$10="3F",3,4),FALSE),IF($D$10="ACS",VLOOKUP(CDV_PROY_BT!H89,FDV!$B$10:$E$15,IF(CDV_PROY_BT!$N$10="3F",3,4),FALSE),IF($D$10="5005 (PREENSAMBLADO)",VLOOKUP(CDV_PROY_BT!H89,FDV!$B$4:$E$9,IF(CDV_PROY_BT!$N$10="3F",3,4),FALSE),VLOOKUP(CDV_PROY_BT!H89,FDV!$B$25:$E$30,IF(CDV_PROY_BT!$N$10="3F",3,4),FALSE)))))</f>
        <v/>
      </c>
      <c r="K89" s="63" t="str">
        <f t="shared" si="9"/>
        <v/>
      </c>
      <c r="L89" s="62" t="str">
        <f t="shared" si="11"/>
        <v/>
      </c>
      <c r="M89" s="62" t="str">
        <f t="shared" si="12"/>
        <v/>
      </c>
      <c r="N89" s="155"/>
      <c r="U89" s="138">
        <f t="shared" si="13"/>
        <v>0</v>
      </c>
      <c r="V89" s="138">
        <f t="shared" si="14"/>
        <v>0</v>
      </c>
    </row>
    <row r="90" spans="1:22" hidden="1" x14ac:dyDescent="0.25">
      <c r="A90" s="167"/>
      <c r="B90" s="168"/>
      <c r="C90" s="169"/>
      <c r="D90" s="169"/>
      <c r="E90" s="174"/>
      <c r="F90" s="58" t="str">
        <f>IF($N$66="","",IF($N$66="INDUSTRIAL",IF(OR($D$64="",$D$70=""),"",IF(OR(D90&gt;$D$71,E90&gt;$D$72),"Rev. Total. abona.",IF(D90="",IF(E90="","",E90/(0.92*1000)),IF(OR($D$64="SAN CRISTOBAL",$D$64="FLOREANA"),VLOOKUP(D90,'Estratos SCY - FLO'!$A$4:$M$108,IF($D$70="A1",2,IF($D$70="A",5,IF($D$70="B",8,11))))+E90/(0.92*1000),VLOOKUP(D90,'Estratos SCX - ISA'!$A$3:$M$107,IF($D$70="A1",2,IF($D$70="A",5,IF($D$70="B",8,11))))+E90/(0.92*1000))))),IF(OR($D$64="",$D$70=""),"",IF(OR(D90&gt;$D$71,E90&gt;$D$72),"Rev. Total. abona.",IF(D90="",IF(E90="","",E90/(0.92*1000)),IF(OR($D$64="SAN CRISTOBAL",$D$64="FLOREANA"),VLOOKUP(D90,'Estratos SCY - FLO'!$O$4:$S$108,IF($D$70="A1",2,IF($D$70="A",3,IF($D$70="B",4,5))))+E90/(0.92*1000),VLOOKUP(D90,'Estratos SCX - ISA'!$O$4:$S$108,IF($D$70="A1",2,IF($D$70="A",3,IF($D$70="B",4,5))))+E90/(0.92*1000)))))))</f>
        <v/>
      </c>
      <c r="G90" s="59" t="str">
        <f t="shared" si="10"/>
        <v/>
      </c>
      <c r="H90" s="183"/>
      <c r="I90" s="183"/>
      <c r="J90" s="59" t="str">
        <f>IF(OR(H90="",$D$10="",$N$10=""),"",IF($D$10="COBRE",VLOOKUP(CDV_PROY_BT!H90,FDV!$B$16:$E$24,IF(CDV_PROY_BT!$N$10="3F",3,4),FALSE),IF($D$10="ACS",VLOOKUP(CDV_PROY_BT!H90,FDV!$B$10:$E$15,IF(CDV_PROY_BT!$N$10="3F",3,4),FALSE),IF($D$10="5005 (PREENSAMBLADO)",VLOOKUP(CDV_PROY_BT!H90,FDV!$B$4:$E$9,IF(CDV_PROY_BT!$N$10="3F",3,4),FALSE),VLOOKUP(CDV_PROY_BT!H90,FDV!$B$25:$E$30,IF(CDV_PROY_BT!$N$10="3F",3,4),FALSE)))))</f>
        <v/>
      </c>
      <c r="K90" s="63" t="str">
        <f t="shared" si="9"/>
        <v/>
      </c>
      <c r="L90" s="62" t="str">
        <f t="shared" si="11"/>
        <v/>
      </c>
      <c r="M90" s="62" t="str">
        <f t="shared" si="12"/>
        <v/>
      </c>
      <c r="N90" s="155"/>
      <c r="U90" s="138">
        <f t="shared" si="13"/>
        <v>0</v>
      </c>
      <c r="V90" s="138">
        <f t="shared" si="14"/>
        <v>0</v>
      </c>
    </row>
    <row r="91" spans="1:22" hidden="1" x14ac:dyDescent="0.25">
      <c r="A91" s="175"/>
      <c r="B91" s="176"/>
      <c r="C91" s="177"/>
      <c r="D91" s="177"/>
      <c r="E91" s="170"/>
      <c r="F91" s="58" t="str">
        <f>IF($N$66="","",IF($N$66="INDUSTRIAL",IF(OR($D$64="",$D$70=""),"",IF(OR(D91&gt;$D$71,E91&gt;$D$72),"Rev. Total. abona.",IF(D91="",IF(E91="","",E91/(0.92*1000)),IF(OR($D$64="SAN CRISTOBAL",$D$64="FLOREANA"),VLOOKUP(D91,'Estratos SCY - FLO'!$A$4:$M$108,IF($D$70="A1",2,IF($D$70="A",5,IF($D$70="B",8,11))))+E91/(0.92*1000),VLOOKUP(D91,'Estratos SCX - ISA'!$A$3:$M$107,IF($D$70="A1",2,IF($D$70="A",5,IF($D$70="B",8,11))))+E91/(0.92*1000))))),IF(OR($D$64="",$D$70=""),"",IF(OR(D91&gt;$D$71,E91&gt;$D$72),"Rev. Total. abona.",IF(D91="",IF(E91="","",E91/(0.92*1000)),IF(OR($D$64="SAN CRISTOBAL",$D$64="FLOREANA"),VLOOKUP(D91,'Estratos SCY - FLO'!$O$4:$S$108,IF($D$70="A1",2,IF($D$70="A",3,IF($D$70="B",4,5))))+E91/(0.92*1000),VLOOKUP(D91,'Estratos SCX - ISA'!$O$4:$S$108,IF($D$70="A1",2,IF($D$70="A",3,IF($D$70="B",4,5))))+E91/(0.92*1000)))))))</f>
        <v/>
      </c>
      <c r="G91" s="59" t="str">
        <f t="shared" si="10"/>
        <v/>
      </c>
      <c r="H91" s="183"/>
      <c r="I91" s="183"/>
      <c r="J91" s="59" t="str">
        <f>IF(OR(H91="",$D$10="",$N$10=""),"",IF($D$10="COBRE",VLOOKUP(CDV_PROY_BT!H91,FDV!$B$16:$E$24,IF(CDV_PROY_BT!$N$10="3F",3,4),FALSE),IF($D$10="ACS",VLOOKUP(CDV_PROY_BT!H91,FDV!$B$10:$E$15,IF(CDV_PROY_BT!$N$10="3F",3,4),FALSE),IF($D$10="5005 (PREENSAMBLADO)",VLOOKUP(CDV_PROY_BT!H91,FDV!$B$4:$E$9,IF(CDV_PROY_BT!$N$10="3F",3,4),FALSE),VLOOKUP(CDV_PROY_BT!H91,FDV!$B$25:$E$30,IF(CDV_PROY_BT!$N$10="3F",3,4),FALSE)))))</f>
        <v/>
      </c>
      <c r="K91" s="63" t="str">
        <f t="shared" si="9"/>
        <v/>
      </c>
      <c r="L91" s="62" t="str">
        <f t="shared" si="11"/>
        <v/>
      </c>
      <c r="M91" s="62" t="str">
        <f t="shared" si="12"/>
        <v/>
      </c>
      <c r="N91" s="155"/>
      <c r="U91" s="138">
        <f t="shared" si="13"/>
        <v>0</v>
      </c>
      <c r="V91" s="138">
        <f t="shared" si="14"/>
        <v>0</v>
      </c>
    </row>
    <row r="92" spans="1:22" hidden="1" x14ac:dyDescent="0.25">
      <c r="A92" s="167"/>
      <c r="B92" s="168"/>
      <c r="C92" s="169"/>
      <c r="D92" s="169"/>
      <c r="E92" s="170"/>
      <c r="F92" s="58" t="str">
        <f>IF($N$66="","",IF($N$66="INDUSTRIAL",IF(OR($D$64="",$D$70=""),"",IF(OR(D92&gt;$D$71,E92&gt;$D$72),"Rev. Total. abona.",IF(D92="",IF(E92="","",E92/(0.92*1000)),IF(OR($D$64="SAN CRISTOBAL",$D$64="FLOREANA"),VLOOKUP(D92,'Estratos SCY - FLO'!$A$4:$M$108,IF($D$70="A1",2,IF($D$70="A",5,IF($D$70="B",8,11))))+E92/(0.92*1000),VLOOKUP(D92,'Estratos SCX - ISA'!$A$3:$M$107,IF($D$70="A1",2,IF($D$70="A",5,IF($D$70="B",8,11))))+E92/(0.92*1000))))),IF(OR($D$64="",$D$70=""),"",IF(OR(D92&gt;$D$71,E92&gt;$D$72),"Rev. Total. abona.",IF(D92="",IF(E92="","",E92/(0.92*1000)),IF(OR($D$64="SAN CRISTOBAL",$D$64="FLOREANA"),VLOOKUP(D92,'Estratos SCY - FLO'!$O$4:$S$108,IF($D$70="A1",2,IF($D$70="A",3,IF($D$70="B",4,5))))+E92/(0.92*1000),VLOOKUP(D92,'Estratos SCX - ISA'!$O$4:$S$108,IF($D$70="A1",2,IF($D$70="A",3,IF($D$70="B",4,5))))+E92/(0.92*1000)))))))</f>
        <v/>
      </c>
      <c r="G92" s="59" t="str">
        <f t="shared" si="10"/>
        <v/>
      </c>
      <c r="H92" s="183"/>
      <c r="I92" s="183"/>
      <c r="J92" s="59" t="str">
        <f>IF(OR(H92="",$D$10="",$N$10=""),"",IF($D$10="COBRE",VLOOKUP(CDV_PROY_BT!H92,FDV!$B$16:$E$24,IF(CDV_PROY_BT!$N$10="3F",3,4),FALSE),IF($D$10="ACS",VLOOKUP(CDV_PROY_BT!H92,FDV!$B$10:$E$15,IF(CDV_PROY_BT!$N$10="3F",3,4),FALSE),IF($D$10="5005 (PREENSAMBLADO)",VLOOKUP(CDV_PROY_BT!H92,FDV!$B$4:$E$9,IF(CDV_PROY_BT!$N$10="3F",3,4),FALSE),VLOOKUP(CDV_PROY_BT!H92,FDV!$B$25:$E$30,IF(CDV_PROY_BT!$N$10="3F",3,4),FALSE)))))</f>
        <v/>
      </c>
      <c r="K92" s="63" t="str">
        <f t="shared" si="9"/>
        <v/>
      </c>
      <c r="L92" s="62" t="str">
        <f t="shared" si="11"/>
        <v/>
      </c>
      <c r="M92" s="62" t="str">
        <f t="shared" si="12"/>
        <v/>
      </c>
      <c r="N92" s="155"/>
      <c r="U92" s="138">
        <f t="shared" si="13"/>
        <v>0</v>
      </c>
      <c r="V92" s="138">
        <f t="shared" si="14"/>
        <v>0</v>
      </c>
    </row>
    <row r="93" spans="1:22" hidden="1" x14ac:dyDescent="0.25">
      <c r="A93" s="167"/>
      <c r="B93" s="168"/>
      <c r="C93" s="169"/>
      <c r="D93" s="169"/>
      <c r="E93" s="170"/>
      <c r="F93" s="58" t="str">
        <f>IF($N$66="","",IF($N$66="INDUSTRIAL",IF(OR($D$64="",$D$70=""),"",IF(OR(D93&gt;$D$71,E93&gt;$D$72),"Rev. Total. abona.",IF(D93="",IF(E93="","",E93/(0.92*1000)),IF(OR($D$64="SAN CRISTOBAL",$D$64="FLOREANA"),VLOOKUP(D93,'Estratos SCY - FLO'!$A$4:$M$108,IF($D$70="A1",2,IF($D$70="A",5,IF($D$70="B",8,11))))+E93/(0.92*1000),VLOOKUP(D93,'Estratos SCX - ISA'!$A$3:$M$107,IF($D$70="A1",2,IF($D$70="A",5,IF($D$70="B",8,11))))+E93/(0.92*1000))))),IF(OR($D$64="",$D$70=""),"",IF(OR(D93&gt;$D$71,E93&gt;$D$72),"Rev. Total. abona.",IF(D93="",IF(E93="","",E93/(0.92*1000)),IF(OR($D$64="SAN CRISTOBAL",$D$64="FLOREANA"),VLOOKUP(D93,'Estratos SCY - FLO'!$O$4:$S$108,IF($D$70="A1",2,IF($D$70="A",3,IF($D$70="B",4,5))))+E93/(0.92*1000),VLOOKUP(D93,'Estratos SCX - ISA'!$O$4:$S$108,IF($D$70="A1",2,IF($D$70="A",3,IF($D$70="B",4,5))))+E93/(0.92*1000)))))))</f>
        <v/>
      </c>
      <c r="G93" s="59" t="str">
        <f t="shared" si="10"/>
        <v/>
      </c>
      <c r="H93" s="183"/>
      <c r="I93" s="183"/>
      <c r="J93" s="59" t="str">
        <f>IF(OR(H93="",$D$10="",$N$10=""),"",IF($D$10="COBRE",VLOOKUP(CDV_PROY_BT!H93,FDV!$B$16:$E$24,IF(CDV_PROY_BT!$N$10="3F",3,4),FALSE),IF($D$10="ACS",VLOOKUP(CDV_PROY_BT!H93,FDV!$B$10:$E$15,IF(CDV_PROY_BT!$N$10="3F",3,4),FALSE),IF($D$10="5005 (PREENSAMBLADO)",VLOOKUP(CDV_PROY_BT!H93,FDV!$B$4:$E$9,IF(CDV_PROY_BT!$N$10="3F",3,4),FALSE),VLOOKUP(CDV_PROY_BT!H93,FDV!$B$25:$E$30,IF(CDV_PROY_BT!$N$10="3F",3,4),FALSE)))))</f>
        <v/>
      </c>
      <c r="K93" s="63" t="str">
        <f t="shared" si="9"/>
        <v/>
      </c>
      <c r="L93" s="62" t="str">
        <f t="shared" si="11"/>
        <v/>
      </c>
      <c r="M93" s="62" t="str">
        <f t="shared" si="12"/>
        <v/>
      </c>
      <c r="N93" s="155"/>
      <c r="U93" s="138">
        <f t="shared" si="13"/>
        <v>0</v>
      </c>
      <c r="V93" s="138">
        <f t="shared" si="14"/>
        <v>0</v>
      </c>
    </row>
    <row r="94" spans="1:22" hidden="1" x14ac:dyDescent="0.25">
      <c r="A94" s="167"/>
      <c r="B94" s="168"/>
      <c r="C94" s="169"/>
      <c r="D94" s="169"/>
      <c r="E94" s="170"/>
      <c r="F94" s="58" t="str">
        <f>IF($N$66="","",IF($N$66="INDUSTRIAL",IF(OR($D$64="",$D$70=""),"",IF(OR(D94&gt;$D$71,E94&gt;$D$72),"Rev. Total. abona.",IF(D94="",IF(E94="","",E94/(0.92*1000)),IF(OR($D$64="SAN CRISTOBAL",$D$64="FLOREANA"),VLOOKUP(D94,'Estratos SCY - FLO'!$A$4:$M$108,IF($D$70="A1",2,IF($D$70="A",5,IF($D$70="B",8,11))))+E94/(0.92*1000),VLOOKUP(D94,'Estratos SCX - ISA'!$A$3:$M$107,IF($D$70="A1",2,IF($D$70="A",5,IF($D$70="B",8,11))))+E94/(0.92*1000))))),IF(OR($D$64="",$D$70=""),"",IF(OR(D94&gt;$D$71,E94&gt;$D$72),"Rev. Total. abona.",IF(D94="",IF(E94="","",E94/(0.92*1000)),IF(OR($D$64="SAN CRISTOBAL",$D$64="FLOREANA"),VLOOKUP(D94,'Estratos SCY - FLO'!$O$4:$S$108,IF($D$70="A1",2,IF($D$70="A",3,IF($D$70="B",4,5))))+E94/(0.92*1000),VLOOKUP(D94,'Estratos SCX - ISA'!$O$4:$S$108,IF($D$70="A1",2,IF($D$70="A",3,IF($D$70="B",4,5))))+E94/(0.92*1000)))))))</f>
        <v/>
      </c>
      <c r="G94" s="59" t="str">
        <f t="shared" si="10"/>
        <v/>
      </c>
      <c r="H94" s="183"/>
      <c r="I94" s="183"/>
      <c r="J94" s="59" t="str">
        <f>IF(OR(H94="",$D$10="",$N$10=""),"",IF($D$10="COBRE",VLOOKUP(CDV_PROY_BT!H94,FDV!$B$16:$E$24,IF(CDV_PROY_BT!$N$10="3F",3,4),FALSE),IF($D$10="ACS",VLOOKUP(CDV_PROY_BT!H94,FDV!$B$10:$E$15,IF(CDV_PROY_BT!$N$10="3F",3,4),FALSE),IF($D$10="5005 (PREENSAMBLADO)",VLOOKUP(CDV_PROY_BT!H94,FDV!$B$4:$E$9,IF(CDV_PROY_BT!$N$10="3F",3,4),FALSE),VLOOKUP(CDV_PROY_BT!H94,FDV!$B$25:$E$30,IF(CDV_PROY_BT!$N$10="3F",3,4),FALSE)))))</f>
        <v/>
      </c>
      <c r="K94" s="63" t="str">
        <f t="shared" si="9"/>
        <v/>
      </c>
      <c r="L94" s="62" t="str">
        <f t="shared" si="11"/>
        <v/>
      </c>
      <c r="M94" s="62" t="str">
        <f t="shared" si="12"/>
        <v/>
      </c>
      <c r="N94" s="155"/>
      <c r="U94" s="138">
        <f t="shared" si="13"/>
        <v>0</v>
      </c>
      <c r="V94" s="138">
        <f t="shared" si="14"/>
        <v>0</v>
      </c>
    </row>
    <row r="95" spans="1:22" hidden="1" x14ac:dyDescent="0.25">
      <c r="A95" s="167"/>
      <c r="B95" s="168"/>
      <c r="C95" s="169"/>
      <c r="D95" s="169"/>
      <c r="E95" s="170"/>
      <c r="F95" s="58" t="str">
        <f>IF($N$66="","",IF($N$66="INDUSTRIAL",IF(OR($D$64="",$D$70=""),"",IF(OR(D95&gt;$D$71,E95&gt;$D$72),"Rev. Total. abona.",IF(D95="",IF(E95="","",E95/(0.92*1000)),IF(OR($D$64="SAN CRISTOBAL",$D$64="FLOREANA"),VLOOKUP(D95,'Estratos SCY - FLO'!$A$4:$M$108,IF($D$70="A1",2,IF($D$70="A",5,IF($D$70="B",8,11))))+E95/(0.92*1000),VLOOKUP(D95,'Estratos SCX - ISA'!$A$3:$M$107,IF($D$70="A1",2,IF($D$70="A",5,IF($D$70="B",8,11))))+E95/(0.92*1000))))),IF(OR($D$64="",$D$70=""),"",IF(OR(D95&gt;$D$71,E95&gt;$D$72),"Rev. Total. abona.",IF(D95="",IF(E95="","",E95/(0.92*1000)),IF(OR($D$64="SAN CRISTOBAL",$D$64="FLOREANA"),VLOOKUP(D95,'Estratos SCY - FLO'!$O$4:$S$108,IF($D$70="A1",2,IF($D$70="A",3,IF($D$70="B",4,5))))+E95/(0.92*1000),VLOOKUP(D95,'Estratos SCX - ISA'!$O$4:$S$108,IF($D$70="A1",2,IF($D$70="A",3,IF($D$70="B",4,5))))+E95/(0.92*1000)))))))</f>
        <v/>
      </c>
      <c r="G95" s="59" t="str">
        <f t="shared" si="10"/>
        <v/>
      </c>
      <c r="H95" s="183"/>
      <c r="I95" s="183"/>
      <c r="J95" s="59" t="str">
        <f>IF(OR(H95="",$D$10="",$N$10=""),"",IF($D$10="COBRE",VLOOKUP(CDV_PROY_BT!H95,FDV!$B$16:$E$24,IF(CDV_PROY_BT!$N$10="3F",3,4),FALSE),IF($D$10="ACS",VLOOKUP(CDV_PROY_BT!H95,FDV!$B$10:$E$15,IF(CDV_PROY_BT!$N$10="3F",3,4),FALSE),IF($D$10="5005 (PREENSAMBLADO)",VLOOKUP(CDV_PROY_BT!H95,FDV!$B$4:$E$9,IF(CDV_PROY_BT!$N$10="3F",3,4),FALSE),VLOOKUP(CDV_PROY_BT!H95,FDV!$B$25:$E$30,IF(CDV_PROY_BT!$N$10="3F",3,4),FALSE)))))</f>
        <v/>
      </c>
      <c r="K95" s="63" t="str">
        <f t="shared" si="9"/>
        <v/>
      </c>
      <c r="L95" s="62" t="str">
        <f t="shared" si="11"/>
        <v/>
      </c>
      <c r="M95" s="62" t="str">
        <f t="shared" si="12"/>
        <v/>
      </c>
      <c r="N95" s="155"/>
      <c r="U95" s="138">
        <f t="shared" si="13"/>
        <v>0</v>
      </c>
      <c r="V95" s="138">
        <f t="shared" si="14"/>
        <v>0</v>
      </c>
    </row>
    <row r="96" spans="1:22" hidden="1" x14ac:dyDescent="0.25">
      <c r="A96" s="167"/>
      <c r="B96" s="168"/>
      <c r="C96" s="169"/>
      <c r="D96" s="169"/>
      <c r="E96" s="170"/>
      <c r="F96" s="58" t="str">
        <f>IF($N$66="","",IF($N$66="INDUSTRIAL",IF(OR($D$64="",$D$70=""),"",IF(OR(D96&gt;$D$71,E96&gt;$D$72),"Rev. Total. abona.",IF(D96="",IF(E96="","",E96/(0.92*1000)),IF(OR($D$64="SAN CRISTOBAL",$D$64="FLOREANA"),VLOOKUP(D96,'Estratos SCY - FLO'!$A$4:$M$108,IF($D$70="A1",2,IF($D$70="A",5,IF($D$70="B",8,11))))+E96/(0.92*1000),VLOOKUP(D96,'Estratos SCX - ISA'!$A$3:$M$107,IF($D$70="A1",2,IF($D$70="A",5,IF($D$70="B",8,11))))+E96/(0.92*1000))))),IF(OR($D$64="",$D$70=""),"",IF(OR(D96&gt;$D$71,E96&gt;$D$72),"Rev. Total. abona.",IF(D96="",IF(E96="","",E96/(0.92*1000)),IF(OR($D$64="SAN CRISTOBAL",$D$64="FLOREANA"),VLOOKUP(D96,'Estratos SCY - FLO'!$O$4:$S$108,IF($D$70="A1",2,IF($D$70="A",3,IF($D$70="B",4,5))))+E96/(0.92*1000),VLOOKUP(D96,'Estratos SCX - ISA'!$O$4:$S$108,IF($D$70="A1",2,IF($D$70="A",3,IF($D$70="B",4,5))))+E96/(0.92*1000)))))))</f>
        <v/>
      </c>
      <c r="G96" s="59" t="str">
        <f t="shared" si="10"/>
        <v/>
      </c>
      <c r="H96" s="183"/>
      <c r="I96" s="183"/>
      <c r="J96" s="59" t="str">
        <f>IF(OR(H96="",$D$10="",$N$10=""),"",IF($D$10="COBRE",VLOOKUP(CDV_PROY_BT!H96,FDV!$B$16:$E$24,IF(CDV_PROY_BT!$N$10="3F",3,4),FALSE),IF($D$10="ACS",VLOOKUP(CDV_PROY_BT!H96,FDV!$B$10:$E$15,IF(CDV_PROY_BT!$N$10="3F",3,4),FALSE),IF($D$10="5005 (PREENSAMBLADO)",VLOOKUP(CDV_PROY_BT!H96,FDV!$B$4:$E$9,IF(CDV_PROY_BT!$N$10="3F",3,4),FALSE),VLOOKUP(CDV_PROY_BT!H96,FDV!$B$25:$E$30,IF(CDV_PROY_BT!$N$10="3F",3,4),FALSE)))))</f>
        <v/>
      </c>
      <c r="K96" s="63" t="str">
        <f t="shared" si="9"/>
        <v/>
      </c>
      <c r="L96" s="62" t="str">
        <f t="shared" si="11"/>
        <v/>
      </c>
      <c r="M96" s="62" t="str">
        <f t="shared" si="12"/>
        <v/>
      </c>
      <c r="N96" s="155"/>
      <c r="U96" s="138">
        <f t="shared" si="13"/>
        <v>0</v>
      </c>
      <c r="V96" s="138">
        <f t="shared" si="14"/>
        <v>0</v>
      </c>
    </row>
    <row r="97" spans="1:22" hidden="1" x14ac:dyDescent="0.25">
      <c r="A97" s="167"/>
      <c r="B97" s="168"/>
      <c r="C97" s="169"/>
      <c r="D97" s="169"/>
      <c r="E97" s="170"/>
      <c r="F97" s="58" t="str">
        <f>IF($N$66="","",IF($N$66="INDUSTRIAL",IF(OR($D$64="",$D$70=""),"",IF(OR(D97&gt;$D$71,E97&gt;$D$72),"Rev. Total. abona.",IF(D97="",IF(E97="","",E97/(0.92*1000)),IF(OR($D$64="SAN CRISTOBAL",$D$64="FLOREANA"),VLOOKUP(D97,'Estratos SCY - FLO'!$A$4:$M$108,IF($D$70="A1",2,IF($D$70="A",5,IF($D$70="B",8,11))))+E97/(0.92*1000),VLOOKUP(D97,'Estratos SCX - ISA'!$A$3:$M$107,IF($D$70="A1",2,IF($D$70="A",5,IF($D$70="B",8,11))))+E97/(0.92*1000))))),IF(OR($D$64="",$D$70=""),"",IF(OR(D97&gt;$D$71,E97&gt;$D$72),"Rev. Total. abona.",IF(D97="",IF(E97="","",E97/(0.92*1000)),IF(OR($D$64="SAN CRISTOBAL",$D$64="FLOREANA"),VLOOKUP(D97,'Estratos SCY - FLO'!$O$4:$S$108,IF($D$70="A1",2,IF($D$70="A",3,IF($D$70="B",4,5))))+E97/(0.92*1000),VLOOKUP(D97,'Estratos SCX - ISA'!$O$4:$S$108,IF($D$70="A1",2,IF($D$70="A",3,IF($D$70="B",4,5))))+E97/(0.92*1000)))))))</f>
        <v/>
      </c>
      <c r="G97" s="59" t="str">
        <f t="shared" si="10"/>
        <v/>
      </c>
      <c r="H97" s="183"/>
      <c r="I97" s="183"/>
      <c r="J97" s="59" t="str">
        <f>IF(OR(H97="",$D$10="",$N$10=""),"",IF($D$10="COBRE",VLOOKUP(CDV_PROY_BT!H97,FDV!$B$16:$E$24,IF(CDV_PROY_BT!$N$10="3F",3,4),FALSE),IF($D$10="ACS",VLOOKUP(CDV_PROY_BT!H97,FDV!$B$10:$E$15,IF(CDV_PROY_BT!$N$10="3F",3,4),FALSE),IF($D$10="5005 (PREENSAMBLADO)",VLOOKUP(CDV_PROY_BT!H97,FDV!$B$4:$E$9,IF(CDV_PROY_BT!$N$10="3F",3,4),FALSE),VLOOKUP(CDV_PROY_BT!H97,FDV!$B$25:$E$30,IF(CDV_PROY_BT!$N$10="3F",3,4),FALSE)))))</f>
        <v/>
      </c>
      <c r="K97" s="63" t="str">
        <f t="shared" si="9"/>
        <v/>
      </c>
      <c r="L97" s="62" t="str">
        <f t="shared" si="11"/>
        <v/>
      </c>
      <c r="M97" s="62" t="str">
        <f t="shared" si="12"/>
        <v/>
      </c>
      <c r="N97" s="155"/>
      <c r="U97" s="138">
        <f t="shared" si="13"/>
        <v>0</v>
      </c>
      <c r="V97" s="138">
        <f t="shared" si="14"/>
        <v>0</v>
      </c>
    </row>
    <row r="98" spans="1:22" hidden="1" x14ac:dyDescent="0.25">
      <c r="A98" s="167"/>
      <c r="B98" s="168"/>
      <c r="C98" s="169"/>
      <c r="D98" s="169"/>
      <c r="E98" s="170"/>
      <c r="F98" s="58" t="str">
        <f>IF($N$66="","",IF($N$66="INDUSTRIAL",IF(OR($D$64="",$D$70=""),"",IF(OR(D98&gt;$D$71,E98&gt;$D$72),"Rev. Total. abona.",IF(D98="",IF(E98="","",E98/(0.92*1000)),IF(OR($D$64="SAN CRISTOBAL",$D$64="FLOREANA"),VLOOKUP(D98,'Estratos SCY - FLO'!$A$4:$M$108,IF($D$70="A1",2,IF($D$70="A",5,IF($D$70="B",8,11))))+E98/(0.92*1000),VLOOKUP(D98,'Estratos SCX - ISA'!$A$3:$M$107,IF($D$70="A1",2,IF($D$70="A",5,IF($D$70="B",8,11))))+E98/(0.92*1000))))),IF(OR($D$64="",$D$70=""),"",IF(OR(D98&gt;$D$71,E98&gt;$D$72),"Rev. Total. abona.",IF(D98="",IF(E98="","",E98/(0.92*1000)),IF(OR($D$64="SAN CRISTOBAL",$D$64="FLOREANA"),VLOOKUP(D98,'Estratos SCY - FLO'!$O$4:$S$108,IF($D$70="A1",2,IF($D$70="A",3,IF($D$70="B",4,5))))+E98/(0.92*1000),VLOOKUP(D98,'Estratos SCX - ISA'!$O$4:$S$108,IF($D$70="A1",2,IF($D$70="A",3,IF($D$70="B",4,5))))+E98/(0.92*1000)))))))</f>
        <v/>
      </c>
      <c r="G98" s="59" t="str">
        <f t="shared" si="10"/>
        <v/>
      </c>
      <c r="H98" s="183"/>
      <c r="I98" s="183"/>
      <c r="J98" s="59" t="str">
        <f>IF(OR(H98="",$D$10="",$N$10=""),"",IF($D$10="COBRE",VLOOKUP(CDV_PROY_BT!H98,FDV!$B$16:$E$24,IF(CDV_PROY_BT!$N$10="3F",3,4),FALSE),IF($D$10="ACS",VLOOKUP(CDV_PROY_BT!H98,FDV!$B$10:$E$15,IF(CDV_PROY_BT!$N$10="3F",3,4),FALSE),IF($D$10="5005 (PREENSAMBLADO)",VLOOKUP(CDV_PROY_BT!H98,FDV!$B$4:$E$9,IF(CDV_PROY_BT!$N$10="3F",3,4),FALSE),VLOOKUP(CDV_PROY_BT!H98,FDV!$B$25:$E$30,IF(CDV_PROY_BT!$N$10="3F",3,4),FALSE)))))</f>
        <v/>
      </c>
      <c r="K98" s="63" t="str">
        <f t="shared" si="9"/>
        <v/>
      </c>
      <c r="L98" s="62" t="str">
        <f t="shared" si="11"/>
        <v/>
      </c>
      <c r="M98" s="62" t="str">
        <f t="shared" si="12"/>
        <v/>
      </c>
      <c r="N98" s="155"/>
      <c r="U98" s="138">
        <f t="shared" si="13"/>
        <v>0</v>
      </c>
      <c r="V98" s="138">
        <f t="shared" si="14"/>
        <v>0</v>
      </c>
    </row>
    <row r="99" spans="1:22" hidden="1" x14ac:dyDescent="0.25">
      <c r="A99" s="167"/>
      <c r="B99" s="168"/>
      <c r="C99" s="169"/>
      <c r="D99" s="169"/>
      <c r="E99" s="170"/>
      <c r="F99" s="58" t="str">
        <f>IF($N$66="","",IF($N$66="INDUSTRIAL",IF(OR($D$64="",$D$70=""),"",IF(OR(D99&gt;$D$71,E99&gt;$D$72),"Rev. Total. abona.",IF(D99="",IF(E99="","",E99/(0.92*1000)),IF(OR($D$64="SAN CRISTOBAL",$D$64="FLOREANA"),VLOOKUP(D99,'Estratos SCY - FLO'!$A$4:$M$108,IF($D$70="A1",2,IF($D$70="A",5,IF($D$70="B",8,11))))+E99/(0.92*1000),VLOOKUP(D99,'Estratos SCX - ISA'!$A$3:$M$107,IF($D$70="A1",2,IF($D$70="A",5,IF($D$70="B",8,11))))+E99/(0.92*1000))))),IF(OR($D$64="",$D$70=""),"",IF(OR(D99&gt;$D$71,E99&gt;$D$72),"Rev. Total. abona.",IF(D99="",IF(E99="","",E99/(0.92*1000)),IF(OR($D$64="SAN CRISTOBAL",$D$64="FLOREANA"),VLOOKUP(D99,'Estratos SCY - FLO'!$O$4:$S$108,IF($D$70="A1",2,IF($D$70="A",3,IF($D$70="B",4,5))))+E99/(0.92*1000),VLOOKUP(D99,'Estratos SCX - ISA'!$O$4:$S$108,IF($D$70="A1",2,IF($D$70="A",3,IF($D$70="B",4,5))))+E99/(0.92*1000)))))))</f>
        <v/>
      </c>
      <c r="G99" s="59" t="str">
        <f t="shared" si="10"/>
        <v/>
      </c>
      <c r="H99" s="183"/>
      <c r="I99" s="183"/>
      <c r="J99" s="59" t="str">
        <f>IF(OR(H99="",$D$10="",$N$10=""),"",IF($D$10="COBRE",VLOOKUP(CDV_PROY_BT!H99,FDV!$B$16:$E$24,IF(CDV_PROY_BT!$N$10="3F",3,4),FALSE),IF($D$10="ACS",VLOOKUP(CDV_PROY_BT!H99,FDV!$B$10:$E$15,IF(CDV_PROY_BT!$N$10="3F",3,4),FALSE),IF($D$10="5005 (PREENSAMBLADO)",VLOOKUP(CDV_PROY_BT!H99,FDV!$B$4:$E$9,IF(CDV_PROY_BT!$N$10="3F",3,4),FALSE),VLOOKUP(CDV_PROY_BT!H99,FDV!$B$25:$E$30,IF(CDV_PROY_BT!$N$10="3F",3,4),FALSE)))))</f>
        <v/>
      </c>
      <c r="K99" s="63" t="str">
        <f t="shared" si="9"/>
        <v/>
      </c>
      <c r="L99" s="62" t="str">
        <f t="shared" si="11"/>
        <v/>
      </c>
      <c r="M99" s="62" t="str">
        <f t="shared" si="12"/>
        <v/>
      </c>
      <c r="N99" s="155"/>
      <c r="U99" s="138">
        <f t="shared" si="13"/>
        <v>0</v>
      </c>
      <c r="V99" s="138">
        <f t="shared" si="14"/>
        <v>0</v>
      </c>
    </row>
    <row r="100" spans="1:22" hidden="1" x14ac:dyDescent="0.25">
      <c r="A100" s="167"/>
      <c r="B100" s="168"/>
      <c r="C100" s="169"/>
      <c r="D100" s="169"/>
      <c r="E100" s="170"/>
      <c r="F100" s="58" t="str">
        <f>IF($N$66="","",IF($N$66="INDUSTRIAL",IF(OR($D$64="",$D$70=""),"",IF(OR(D100&gt;$D$71,E100&gt;$D$72),"Rev. Total. abona.",IF(D100="",IF(E100="","",E100/(0.92*1000)),IF(OR($D$64="SAN CRISTOBAL",$D$64="FLOREANA"),VLOOKUP(D100,'Estratos SCY - FLO'!$A$4:$M$108,IF($D$70="A1",2,IF($D$70="A",5,IF($D$70="B",8,11))))+E100/(0.92*1000),VLOOKUP(D100,'Estratos SCX - ISA'!$A$3:$M$107,IF($D$70="A1",2,IF($D$70="A",5,IF($D$70="B",8,11))))+E100/(0.92*1000))))),IF(OR($D$64="",$D$70=""),"",IF(OR(D100&gt;$D$71,E100&gt;$D$72),"Rev. Total. abona.",IF(D100="",IF(E100="","",E100/(0.92*1000)),IF(OR($D$64="SAN CRISTOBAL",$D$64="FLOREANA"),VLOOKUP(D100,'Estratos SCY - FLO'!$O$4:$S$108,IF($D$70="A1",2,IF($D$70="A",3,IF($D$70="B",4,5))))+E100/(0.92*1000),VLOOKUP(D100,'Estratos SCX - ISA'!$O$4:$S$108,IF($D$70="A1",2,IF($D$70="A",3,IF($D$70="B",4,5))))+E100/(0.92*1000)))))))</f>
        <v/>
      </c>
      <c r="G100" s="59" t="str">
        <f t="shared" si="10"/>
        <v/>
      </c>
      <c r="H100" s="183"/>
      <c r="I100" s="183"/>
      <c r="J100" s="59" t="str">
        <f>IF(OR(H100="",$D$10="",$N$10=""),"",IF($D$10="COBRE",VLOOKUP(CDV_PROY_BT!H100,FDV!$B$16:$E$24,IF(CDV_PROY_BT!$N$10="3F",3,4),FALSE),IF($D$10="ACS",VLOOKUP(CDV_PROY_BT!H100,FDV!$B$10:$E$15,IF(CDV_PROY_BT!$N$10="3F",3,4),FALSE),IF($D$10="5005 (PREENSAMBLADO)",VLOOKUP(CDV_PROY_BT!H100,FDV!$B$4:$E$9,IF(CDV_PROY_BT!$N$10="3F",3,4),FALSE),VLOOKUP(CDV_PROY_BT!H100,FDV!$B$25:$E$30,IF(CDV_PROY_BT!$N$10="3F",3,4),FALSE)))))</f>
        <v/>
      </c>
      <c r="K100" s="63" t="str">
        <f t="shared" si="9"/>
        <v/>
      </c>
      <c r="L100" s="62" t="str">
        <f t="shared" si="11"/>
        <v/>
      </c>
      <c r="M100" s="62" t="str">
        <f t="shared" si="12"/>
        <v/>
      </c>
      <c r="N100" s="155"/>
      <c r="U100" s="138">
        <f t="shared" si="13"/>
        <v>0</v>
      </c>
      <c r="V100" s="138">
        <f t="shared" si="14"/>
        <v>0</v>
      </c>
    </row>
    <row r="101" spans="1:22" hidden="1" x14ac:dyDescent="0.25">
      <c r="A101" s="167"/>
      <c r="B101" s="168"/>
      <c r="C101" s="169"/>
      <c r="D101" s="169"/>
      <c r="E101" s="170"/>
      <c r="F101" s="58" t="str">
        <f>IF($N$66="","",IF($N$66="INDUSTRIAL",IF(OR($D$64="",$D$70=""),"",IF(OR(D101&gt;$D$71,E101&gt;$D$72),"Rev. Total. abona.",IF(D101="",IF(E101="","",E101/(0.92*1000)),IF(OR($D$64="SAN CRISTOBAL",$D$64="FLOREANA"),VLOOKUP(D101,'Estratos SCY - FLO'!$A$4:$M$108,IF($D$70="A1",2,IF($D$70="A",5,IF($D$70="B",8,11))))+E101/(0.92*1000),VLOOKUP(D101,'Estratos SCX - ISA'!$A$3:$M$107,IF($D$70="A1",2,IF($D$70="A",5,IF($D$70="B",8,11))))+E101/(0.92*1000))))),IF(OR($D$64="",$D$70=""),"",IF(OR(D101&gt;$D$71,E101&gt;$D$72),"Rev. Total. abona.",IF(D101="",IF(E101="","",E101/(0.92*1000)),IF(OR($D$64="SAN CRISTOBAL",$D$64="FLOREANA"),VLOOKUP(D101,'Estratos SCY - FLO'!$O$4:$S$108,IF($D$70="A1",2,IF($D$70="A",3,IF($D$70="B",4,5))))+E101/(0.92*1000),VLOOKUP(D101,'Estratos SCX - ISA'!$O$4:$S$108,IF($D$70="A1",2,IF($D$70="A",3,IF($D$70="B",4,5))))+E101/(0.92*1000)))))))</f>
        <v/>
      </c>
      <c r="G101" s="59" t="str">
        <f t="shared" si="10"/>
        <v/>
      </c>
      <c r="H101" s="183"/>
      <c r="I101" s="183"/>
      <c r="J101" s="59" t="str">
        <f>IF(OR(H101="",$D$10="",$N$10=""),"",IF($D$10="COBRE",VLOOKUP(CDV_PROY_BT!H101,FDV!$B$16:$E$24,IF(CDV_PROY_BT!$N$10="3F",3,4),FALSE),IF($D$10="ACS",VLOOKUP(CDV_PROY_BT!H101,FDV!$B$10:$E$15,IF(CDV_PROY_BT!$N$10="3F",3,4),FALSE),IF($D$10="5005 (PREENSAMBLADO)",VLOOKUP(CDV_PROY_BT!H101,FDV!$B$4:$E$9,IF(CDV_PROY_BT!$N$10="3F",3,4),FALSE),VLOOKUP(CDV_PROY_BT!H101,FDV!$B$25:$E$30,IF(CDV_PROY_BT!$N$10="3F",3,4),FALSE)))))</f>
        <v/>
      </c>
      <c r="K101" s="63" t="str">
        <f t="shared" si="9"/>
        <v/>
      </c>
      <c r="L101" s="62" t="str">
        <f t="shared" si="11"/>
        <v/>
      </c>
      <c r="M101" s="62" t="str">
        <f t="shared" si="12"/>
        <v/>
      </c>
      <c r="N101" s="155"/>
      <c r="U101" s="138">
        <f t="shared" si="13"/>
        <v>0</v>
      </c>
      <c r="V101" s="138">
        <f t="shared" si="14"/>
        <v>0</v>
      </c>
    </row>
    <row r="102" spans="1:22" hidden="1" x14ac:dyDescent="0.25">
      <c r="A102" s="167"/>
      <c r="B102" s="168"/>
      <c r="C102" s="169"/>
      <c r="D102" s="169"/>
      <c r="E102" s="170"/>
      <c r="F102" s="58" t="str">
        <f>IF($N$66="","",IF($N$66="INDUSTRIAL",IF(OR($D$64="",$D$70=""),"",IF(OR(D102&gt;$D$71,E102&gt;$D$72),"Rev. Total. abona.",IF(D102="",IF(E102="","",E102/(0.92*1000)),IF(OR($D$64="SAN CRISTOBAL",$D$64="FLOREANA"),VLOOKUP(D102,'Estratos SCY - FLO'!$A$4:$M$108,IF($D$70="A1",2,IF($D$70="A",5,IF($D$70="B",8,11))))+E102/(0.92*1000),VLOOKUP(D102,'Estratos SCX - ISA'!$A$3:$M$107,IF($D$70="A1",2,IF($D$70="A",5,IF($D$70="B",8,11))))+E102/(0.92*1000))))),IF(OR($D$64="",$D$70=""),"",IF(OR(D102&gt;$D$71,E102&gt;$D$72),"Rev. Total. abona.",IF(D102="",IF(E102="","",E102/(0.92*1000)),IF(OR($D$64="SAN CRISTOBAL",$D$64="FLOREANA"),VLOOKUP(D102,'Estratos SCY - FLO'!$O$4:$S$108,IF($D$70="A1",2,IF($D$70="A",3,IF($D$70="B",4,5))))+E102/(0.92*1000),VLOOKUP(D102,'Estratos SCX - ISA'!$O$4:$S$108,IF($D$70="A1",2,IF($D$70="A",3,IF($D$70="B",4,5))))+E102/(0.92*1000)))))))</f>
        <v/>
      </c>
      <c r="G102" s="59" t="str">
        <f t="shared" si="10"/>
        <v/>
      </c>
      <c r="H102" s="183"/>
      <c r="I102" s="183"/>
      <c r="J102" s="59" t="str">
        <f>IF(OR(H102="",$D$10="",$N$10=""),"",IF($D$10="COBRE",VLOOKUP(CDV_PROY_BT!H102,FDV!$B$16:$E$24,IF(CDV_PROY_BT!$N$10="3F",3,4),FALSE),IF($D$10="ACS",VLOOKUP(CDV_PROY_BT!H102,FDV!$B$10:$E$15,IF(CDV_PROY_BT!$N$10="3F",3,4),FALSE),IF($D$10="5005 (PREENSAMBLADO)",VLOOKUP(CDV_PROY_BT!H102,FDV!$B$4:$E$9,IF(CDV_PROY_BT!$N$10="3F",3,4),FALSE),VLOOKUP(CDV_PROY_BT!H102,FDV!$B$25:$E$30,IF(CDV_PROY_BT!$N$10="3F",3,4),FALSE)))))</f>
        <v/>
      </c>
      <c r="K102" s="63" t="str">
        <f t="shared" si="9"/>
        <v/>
      </c>
      <c r="L102" s="62" t="str">
        <f t="shared" si="11"/>
        <v/>
      </c>
      <c r="M102" s="62" t="str">
        <f t="shared" si="12"/>
        <v/>
      </c>
      <c r="N102" s="155"/>
      <c r="U102" s="138">
        <f t="shared" si="13"/>
        <v>0</v>
      </c>
      <c r="V102" s="138">
        <f t="shared" si="14"/>
        <v>0</v>
      </c>
    </row>
    <row r="103" spans="1:22" hidden="1" x14ac:dyDescent="0.25">
      <c r="A103" s="167"/>
      <c r="B103" s="168"/>
      <c r="C103" s="169"/>
      <c r="D103" s="169"/>
      <c r="E103" s="170"/>
      <c r="F103" s="58" t="str">
        <f>IF($N$66="","",IF($N$66="INDUSTRIAL",IF(OR($D$64="",$D$70=""),"",IF(OR(D103&gt;$D$71,E103&gt;$D$72),"Rev. Total. abona.",IF(D103="",IF(E103="","",E103/(0.92*1000)),IF(OR($D$64="SAN CRISTOBAL",$D$64="FLOREANA"),VLOOKUP(D103,'Estratos SCY - FLO'!$A$4:$M$108,IF($D$70="A1",2,IF($D$70="A",5,IF($D$70="B",8,11))))+E103/(0.92*1000),VLOOKUP(D103,'Estratos SCX - ISA'!$A$3:$M$107,IF($D$70="A1",2,IF($D$70="A",5,IF($D$70="B",8,11))))+E103/(0.92*1000))))),IF(OR($D$64="",$D$70=""),"",IF(OR(D103&gt;$D$71,E103&gt;$D$72),"Rev. Total. abona.",IF(D103="",IF(E103="","",E103/(0.92*1000)),IF(OR($D$64="SAN CRISTOBAL",$D$64="FLOREANA"),VLOOKUP(D103,'Estratos SCY - FLO'!$O$4:$S$108,IF($D$70="A1",2,IF($D$70="A",3,IF($D$70="B",4,5))))+E103/(0.92*1000),VLOOKUP(D103,'Estratos SCX - ISA'!$O$4:$S$108,IF($D$70="A1",2,IF($D$70="A",3,IF($D$70="B",4,5))))+E103/(0.92*1000)))))))</f>
        <v/>
      </c>
      <c r="G103" s="59" t="str">
        <f t="shared" si="10"/>
        <v/>
      </c>
      <c r="H103" s="183"/>
      <c r="I103" s="183"/>
      <c r="J103" s="59" t="str">
        <f>IF(OR(H103="",$D$10="",$N$10=""),"",IF($D$10="COBRE",VLOOKUP(CDV_PROY_BT!H103,FDV!$B$16:$E$24,IF(CDV_PROY_BT!$N$10="3F",3,4),FALSE),IF($D$10="ACS",VLOOKUP(CDV_PROY_BT!H103,FDV!$B$10:$E$15,IF(CDV_PROY_BT!$N$10="3F",3,4),FALSE),IF($D$10="5005 (PREENSAMBLADO)",VLOOKUP(CDV_PROY_BT!H103,FDV!$B$4:$E$9,IF(CDV_PROY_BT!$N$10="3F",3,4),FALSE),VLOOKUP(CDV_PROY_BT!H103,FDV!$B$25:$E$30,IF(CDV_PROY_BT!$N$10="3F",3,4),FALSE)))))</f>
        <v/>
      </c>
      <c r="K103" s="63" t="str">
        <f t="shared" si="9"/>
        <v/>
      </c>
      <c r="L103" s="62" t="str">
        <f t="shared" si="11"/>
        <v/>
      </c>
      <c r="M103" s="62" t="str">
        <f t="shared" si="12"/>
        <v/>
      </c>
      <c r="N103" s="155"/>
      <c r="U103" s="138">
        <f t="shared" si="13"/>
        <v>0</v>
      </c>
      <c r="V103" s="138">
        <f t="shared" si="14"/>
        <v>0</v>
      </c>
    </row>
    <row r="104" spans="1:22" hidden="1" x14ac:dyDescent="0.25">
      <c r="A104" s="167"/>
      <c r="B104" s="168"/>
      <c r="C104" s="169"/>
      <c r="D104" s="169"/>
      <c r="E104" s="170"/>
      <c r="F104" s="58" t="str">
        <f>IF($N$66="","",IF($N$66="INDUSTRIAL",IF(OR($D$64="",$D$70=""),"",IF(OR(D104&gt;$D$71,E104&gt;$D$72),"Rev. Total. abona.",IF(D104="",IF(E104="","",E104/(0.92*1000)),IF(OR($D$64="SAN CRISTOBAL",$D$64="FLOREANA"),VLOOKUP(D104,'Estratos SCY - FLO'!$A$4:$M$108,IF($D$70="A1",2,IF($D$70="A",5,IF($D$70="B",8,11))))+E104/(0.92*1000),VLOOKUP(D104,'Estratos SCX - ISA'!$A$3:$M$107,IF($D$70="A1",2,IF($D$70="A",5,IF($D$70="B",8,11))))+E104/(0.92*1000))))),IF(OR($D$64="",$D$70=""),"",IF(OR(D104&gt;$D$71,E104&gt;$D$72),"Rev. Total. abona.",IF(D104="",IF(E104="","",E104/(0.92*1000)),IF(OR($D$64="SAN CRISTOBAL",$D$64="FLOREANA"),VLOOKUP(D104,'Estratos SCY - FLO'!$O$4:$S$108,IF($D$70="A1",2,IF($D$70="A",3,IF($D$70="B",4,5))))+E104/(0.92*1000),VLOOKUP(D104,'Estratos SCX - ISA'!$O$4:$S$108,IF($D$70="A1",2,IF($D$70="A",3,IF($D$70="B",4,5))))+E104/(0.92*1000)))))))</f>
        <v/>
      </c>
      <c r="G104" s="59" t="str">
        <f t="shared" si="10"/>
        <v/>
      </c>
      <c r="H104" s="183"/>
      <c r="I104" s="183"/>
      <c r="J104" s="59" t="str">
        <f>IF(OR(H104="",$D$10="",$N$10=""),"",IF($D$10="COBRE",VLOOKUP(CDV_PROY_BT!H104,FDV!$B$16:$E$24,IF(CDV_PROY_BT!$N$10="3F",3,4),FALSE),IF($D$10="ACS",VLOOKUP(CDV_PROY_BT!H104,FDV!$B$10:$E$15,IF(CDV_PROY_BT!$N$10="3F",3,4),FALSE),IF($D$10="5005 (PREENSAMBLADO)",VLOOKUP(CDV_PROY_BT!H104,FDV!$B$4:$E$9,IF(CDV_PROY_BT!$N$10="3F",3,4),FALSE),VLOOKUP(CDV_PROY_BT!H104,FDV!$B$25:$E$30,IF(CDV_PROY_BT!$N$10="3F",3,4),FALSE)))))</f>
        <v/>
      </c>
      <c r="K104" s="63" t="str">
        <f t="shared" si="9"/>
        <v/>
      </c>
      <c r="L104" s="62" t="str">
        <f t="shared" si="11"/>
        <v/>
      </c>
      <c r="M104" s="62" t="str">
        <f t="shared" si="12"/>
        <v/>
      </c>
      <c r="N104" s="155"/>
      <c r="U104" s="138">
        <f t="shared" si="13"/>
        <v>0</v>
      </c>
      <c r="V104" s="138">
        <f t="shared" si="14"/>
        <v>0</v>
      </c>
    </row>
    <row r="105" spans="1:22" hidden="1" x14ac:dyDescent="0.25">
      <c r="A105" s="167"/>
      <c r="B105" s="168"/>
      <c r="C105" s="169"/>
      <c r="D105" s="169"/>
      <c r="E105" s="170"/>
      <c r="F105" s="58" t="str">
        <f>IF($N$66="","",IF($N$66="INDUSTRIAL",IF(OR($D$64="",$D$70=""),"",IF(OR(D105&gt;$D$71,E105&gt;$D$72),"Rev. Total. abona.",IF(D105="",IF(E105="","",E105/(0.92*1000)),IF(OR($D$64="SAN CRISTOBAL",$D$64="FLOREANA"),VLOOKUP(D105,'Estratos SCY - FLO'!$A$4:$M$108,IF($D$70="A1",2,IF($D$70="A",5,IF($D$70="B",8,11))))+E105/(0.92*1000),VLOOKUP(D105,'Estratos SCX - ISA'!$A$3:$M$107,IF($D$70="A1",2,IF($D$70="A",5,IF($D$70="B",8,11))))+E105/(0.92*1000))))),IF(OR($D$64="",$D$70=""),"",IF(OR(D105&gt;$D$71,E105&gt;$D$72),"Rev. Total. abona.",IF(D105="",IF(E105="","",E105/(0.92*1000)),IF(OR($D$64="SAN CRISTOBAL",$D$64="FLOREANA"),VLOOKUP(D105,'Estratos SCY - FLO'!$O$4:$S$108,IF($D$70="A1",2,IF($D$70="A",3,IF($D$70="B",4,5))))+E105/(0.92*1000),VLOOKUP(D105,'Estratos SCX - ISA'!$O$4:$S$108,IF($D$70="A1",2,IF($D$70="A",3,IF($D$70="B",4,5))))+E105/(0.92*1000)))))))</f>
        <v/>
      </c>
      <c r="G105" s="59" t="str">
        <f t="shared" si="10"/>
        <v/>
      </c>
      <c r="H105" s="183"/>
      <c r="I105" s="183"/>
      <c r="J105" s="59" t="str">
        <f>IF(OR(H105="",$D$10="",$N$10=""),"",IF($D$10="COBRE",VLOOKUP(CDV_PROY_BT!H105,FDV!$B$16:$E$24,IF(CDV_PROY_BT!$N$10="3F",3,4),FALSE),IF($D$10="ACS",VLOOKUP(CDV_PROY_BT!H105,FDV!$B$10:$E$15,IF(CDV_PROY_BT!$N$10="3F",3,4),FALSE),IF($D$10="5005 (PREENSAMBLADO)",VLOOKUP(CDV_PROY_BT!H105,FDV!$B$4:$E$9,IF(CDV_PROY_BT!$N$10="3F",3,4),FALSE),VLOOKUP(CDV_PROY_BT!H105,FDV!$B$25:$E$30,IF(CDV_PROY_BT!$N$10="3F",3,4),FALSE)))))</f>
        <v/>
      </c>
      <c r="K105" s="63" t="str">
        <f t="shared" si="9"/>
        <v/>
      </c>
      <c r="L105" s="62" t="str">
        <f t="shared" si="11"/>
        <v/>
      </c>
      <c r="M105" s="62" t="str">
        <f t="shared" si="12"/>
        <v/>
      </c>
      <c r="N105" s="155"/>
      <c r="U105" s="138">
        <f t="shared" si="13"/>
        <v>0</v>
      </c>
      <c r="V105" s="138">
        <f t="shared" si="14"/>
        <v>0</v>
      </c>
    </row>
    <row r="106" spans="1:22" hidden="1" x14ac:dyDescent="0.25">
      <c r="A106" s="167"/>
      <c r="B106" s="168"/>
      <c r="C106" s="169"/>
      <c r="D106" s="169"/>
      <c r="E106" s="170"/>
      <c r="F106" s="58" t="str">
        <f>IF($N$66="","",IF($N$66="INDUSTRIAL",IF(OR($D$64="",$D$70=""),"",IF(OR(D106&gt;$D$71,E106&gt;$D$72),"Rev. Total. abona.",IF(D106="",IF(E106="","",E106/(0.92*1000)),IF(OR($D$64="SAN CRISTOBAL",$D$64="FLOREANA"),VLOOKUP(D106,'Estratos SCY - FLO'!$A$4:$M$108,IF($D$70="A1",2,IF($D$70="A",5,IF($D$70="B",8,11))))+E106/(0.92*1000),VLOOKUP(D106,'Estratos SCX - ISA'!$A$3:$M$107,IF($D$70="A1",2,IF($D$70="A",5,IF($D$70="B",8,11))))+E106/(0.92*1000))))),IF(OR($D$64="",$D$70=""),"",IF(OR(D106&gt;$D$71,E106&gt;$D$72),"Rev. Total. abona.",IF(D106="",IF(E106="","",E106/(0.92*1000)),IF(OR($D$64="SAN CRISTOBAL",$D$64="FLOREANA"),VLOOKUP(D106,'Estratos SCY - FLO'!$O$4:$S$108,IF($D$70="A1",2,IF($D$70="A",3,IF($D$70="B",4,5))))+E106/(0.92*1000),VLOOKUP(D106,'Estratos SCX - ISA'!$O$4:$S$108,IF($D$70="A1",2,IF($D$70="A",3,IF($D$70="B",4,5))))+E106/(0.92*1000)))))))</f>
        <v/>
      </c>
      <c r="G106" s="59" t="str">
        <f t="shared" si="10"/>
        <v/>
      </c>
      <c r="H106" s="183"/>
      <c r="I106" s="183"/>
      <c r="J106" s="59" t="str">
        <f>IF(OR(H106="",$D$10="",$N$10=""),"",IF($D$10="COBRE",VLOOKUP(CDV_PROY_BT!H106,FDV!$B$16:$E$24,IF(CDV_PROY_BT!$N$10="3F",3,4),FALSE),IF($D$10="ACS",VLOOKUP(CDV_PROY_BT!H106,FDV!$B$10:$E$15,IF(CDV_PROY_BT!$N$10="3F",3,4),FALSE),IF($D$10="5005 (PREENSAMBLADO)",VLOOKUP(CDV_PROY_BT!H106,FDV!$B$4:$E$9,IF(CDV_PROY_BT!$N$10="3F",3,4),FALSE),VLOOKUP(CDV_PROY_BT!H106,FDV!$B$25:$E$30,IF(CDV_PROY_BT!$N$10="3F",3,4),FALSE)))))</f>
        <v/>
      </c>
      <c r="K106" s="63" t="str">
        <f t="shared" si="9"/>
        <v/>
      </c>
      <c r="L106" s="62" t="str">
        <f t="shared" si="11"/>
        <v/>
      </c>
      <c r="M106" s="62" t="str">
        <f t="shared" si="12"/>
        <v/>
      </c>
      <c r="N106" s="156"/>
      <c r="U106" s="138">
        <f t="shared" si="13"/>
        <v>0</v>
      </c>
      <c r="V106" s="138">
        <f t="shared" si="14"/>
        <v>0</v>
      </c>
    </row>
    <row r="107" spans="1:22" ht="15.75" hidden="1" thickBot="1" x14ac:dyDescent="0.3">
      <c r="A107" s="178"/>
      <c r="B107" s="179"/>
      <c r="C107" s="180"/>
      <c r="D107" s="180"/>
      <c r="E107" s="181"/>
      <c r="F107" s="68" t="str">
        <f>IF($N$66="","",IF($N$66="INDUSTRIAL",IF(OR($D$64="",$D$70=""),"",IF(OR(D107&gt;$D$71,E107&gt;$D$72),"Rev. Total. abona.",IF(D107="",IF(E107="","",E107/(0.92*1000)),IF(OR($D$64="SAN CRISTOBAL",$D$64="FLOREANA"),VLOOKUP(D107,'Estratos SCY - FLO'!$A$4:$M$108,IF($D$70="A1",2,IF($D$70="A",5,IF($D$70="B",8,11))))+E107/(0.92*1000),VLOOKUP(D107,'Estratos SCX - ISA'!$A$3:$M$107,IF($D$70="A1",2,IF($D$70="A",5,IF($D$70="B",8,11))))+E107/(0.92*1000))))),IF(OR($D$64="",$D$70=""),"",IF(OR(D107&gt;$D$71,E107&gt;$D$72),"Rev. Total. abona.",IF(D107="",IF(E107="","",E107/(0.92*1000)),IF(OR($D$64="SAN CRISTOBAL",$D$64="FLOREANA"),VLOOKUP(D107,'Estratos SCY - FLO'!$O$4:$S$108,IF($D$70="A1",2,IF($D$70="A",3,IF($D$70="B",4,5))))+E107/(0.92*1000),VLOOKUP(D107,'Estratos SCX - ISA'!$O$4:$S$108,IF($D$70="A1",2,IF($D$70="A",3,IF($D$70="B",4,5))))+E107/(0.92*1000)))))))</f>
        <v/>
      </c>
      <c r="G107" s="69" t="str">
        <f t="shared" si="10"/>
        <v/>
      </c>
      <c r="H107" s="184"/>
      <c r="I107" s="184"/>
      <c r="J107" s="69" t="str">
        <f>IF(OR(H107="",$D$10="",$N$10=""),"",IF($D$10="COBRE",VLOOKUP(CDV_PROY_BT!H107,FDV!$B$16:$E$24,IF(CDV_PROY_BT!$N$10="3F",3,4),FALSE),IF($D$10="ACS",VLOOKUP(CDV_PROY_BT!H107,FDV!$B$10:$E$15,IF(CDV_PROY_BT!$N$10="3F",3,4),FALSE),IF($D$10="5005 (PREENSAMBLADO)",VLOOKUP(CDV_PROY_BT!H107,FDV!$B$4:$E$9,IF(CDV_PROY_BT!$N$10="3F",3,4),FALSE),VLOOKUP(CDV_PROY_BT!H107,FDV!$B$25:$E$30,IF(CDV_PROY_BT!$N$10="3F",3,4),FALSE)))))</f>
        <v/>
      </c>
      <c r="K107" s="65" t="str">
        <f t="shared" si="9"/>
        <v/>
      </c>
      <c r="L107" s="64" t="str">
        <f t="shared" si="11"/>
        <v/>
      </c>
      <c r="M107" s="64" t="str">
        <f t="shared" si="12"/>
        <v/>
      </c>
      <c r="N107" s="157"/>
      <c r="U107" s="138">
        <f t="shared" si="13"/>
        <v>0</v>
      </c>
      <c r="V107" s="138">
        <f t="shared" si="14"/>
        <v>0</v>
      </c>
    </row>
    <row r="108" spans="1:22" ht="15.75" hidden="1" thickBot="1" x14ac:dyDescent="0.3">
      <c r="A108" s="143"/>
      <c r="B108" s="67" t="str">
        <f>IF(N77="","",N77)</f>
        <v>P18</v>
      </c>
      <c r="C108" s="144"/>
      <c r="D108" s="144"/>
      <c r="E108" s="145"/>
      <c r="F108" s="68"/>
      <c r="G108" s="69" t="str">
        <f t="shared" si="10"/>
        <v/>
      </c>
      <c r="H108" s="146" t="e">
        <f>IF(B108="","",IF(B108-A108=1,H107,""))</f>
        <v>#VALUE!</v>
      </c>
      <c r="I108" s="146"/>
      <c r="J108" s="70" t="e">
        <f>IF(OR(H108="",$D$10="",$N$10=""),"",IF($D$10="COBRE",VLOOKUP(CDV_PROY_BT!H108,FDV!$B$16:$E$24,IF(CDV_PROY_BT!$N$10="3F",3,4),FALSE),IF($D$10="ACS",VLOOKUP(CDV_PROY_BT!H108,FDV!$B$10:$E$15,IF(CDV_PROY_BT!$N$10="3F",3,4),FALSE),IF($D$10="5005 (PREENSAMBLADO)",VLOOKUP(CDV_PROY_BT!H108,FDV!$B$4:$E$9,IF(CDV_PROY_BT!$N$10="3F",3,4),FALSE),VLOOKUP(CDV_PROY_BT!H108,FDV!$B$25:$E$30,IF(CDV_PROY_BT!$N$10="3F",3,4),FALSE)))))</f>
        <v>#VALUE!</v>
      </c>
      <c r="K108" s="71" t="str">
        <f t="shared" si="9"/>
        <v/>
      </c>
      <c r="L108" s="68" t="str">
        <f t="shared" ref="L108" si="15">IF(C108="","",ROUND(K108/J108,2))</f>
        <v/>
      </c>
      <c r="M108" s="72">
        <v>0</v>
      </c>
      <c r="N108" s="66"/>
      <c r="U108" s="138">
        <f t="shared" ref="U108:U109" si="16">+IF(D108&gt;0,C108,0)</f>
        <v>0</v>
      </c>
      <c r="V108" s="138">
        <f t="shared" ref="V108:V109" si="17">IF(C108="",0,C108*G108)</f>
        <v>0</v>
      </c>
    </row>
    <row r="109" spans="1:22" ht="15.75" hidden="1" thickBot="1" x14ac:dyDescent="0.3">
      <c r="A109" s="73" t="s">
        <v>113</v>
      </c>
      <c r="B109" s="74"/>
      <c r="C109" s="75"/>
      <c r="D109" s="75"/>
      <c r="E109" s="76"/>
      <c r="F109" s="77"/>
      <c r="G109" s="78"/>
      <c r="H109" s="79"/>
      <c r="I109" s="79"/>
      <c r="J109" s="78"/>
      <c r="K109" s="121"/>
      <c r="L109" s="121"/>
      <c r="M109" s="128"/>
      <c r="N109" s="237"/>
      <c r="U109" s="138">
        <f t="shared" si="16"/>
        <v>0</v>
      </c>
      <c r="V109" s="138">
        <f t="shared" si="17"/>
        <v>0</v>
      </c>
    </row>
    <row r="110" spans="1:22" ht="15.75" hidden="1" thickBot="1" x14ac:dyDescent="0.3">
      <c r="A110" s="93" t="s">
        <v>96</v>
      </c>
      <c r="B110" s="94">
        <f>+ROUND(SUMIF(H81:H107,"4/0",V81:V109)*1.015,0)</f>
        <v>0</v>
      </c>
      <c r="C110" s="93" t="s">
        <v>97</v>
      </c>
      <c r="D110" s="94">
        <f>ROUND((SUMIF(H81:H107,"3/0",V81:V109))*1.015,0)</f>
        <v>0</v>
      </c>
      <c r="E110" s="82" t="s">
        <v>95</v>
      </c>
      <c r="F110" s="81">
        <f>ROUND((SUMIF(H81:H107,"2/0",V81:V109))*1.015,0)</f>
        <v>59</v>
      </c>
      <c r="G110" s="80" t="s">
        <v>57</v>
      </c>
      <c r="H110" s="81">
        <f>ROUND((SUMIF(H81:H107,"1/0",V81:V109))*1.015,0)</f>
        <v>0</v>
      </c>
      <c r="I110" s="93" t="s">
        <v>58</v>
      </c>
      <c r="J110" s="94">
        <f>ROUND((SUMIF(H81:H107,"2",V81:V109))*1.015,0)</f>
        <v>0</v>
      </c>
      <c r="K110" s="147"/>
      <c r="L110" s="91"/>
      <c r="M110" s="92"/>
      <c r="N110" s="238"/>
    </row>
    <row r="111" spans="1:22" ht="15.75" hidden="1" thickBot="1" x14ac:dyDescent="0.3">
      <c r="A111" s="119" t="s">
        <v>107</v>
      </c>
      <c r="B111" s="92"/>
      <c r="C111" s="91"/>
      <c r="D111" s="92"/>
      <c r="E111" s="91"/>
      <c r="F111" s="92"/>
      <c r="G111" s="91"/>
      <c r="H111" s="92"/>
      <c r="I111" s="92"/>
      <c r="J111" s="91"/>
      <c r="K111" s="92"/>
      <c r="L111" s="91"/>
      <c r="M111" s="92"/>
      <c r="N111" s="238"/>
    </row>
    <row r="112" spans="1:22" ht="15.75" hidden="1" thickBot="1" x14ac:dyDescent="0.3">
      <c r="A112" s="93" t="s">
        <v>96</v>
      </c>
      <c r="B112" s="94">
        <f>+ROUND(SUMIF(I81:I107,"4/0",U81:U109)*1.015,0)</f>
        <v>0</v>
      </c>
      <c r="C112" s="93" t="s">
        <v>97</v>
      </c>
      <c r="D112" s="94">
        <f>ROUND((SUMIF(I81:I107,"3/0",U81:U109))*1.015,0)</f>
        <v>0</v>
      </c>
      <c r="E112" s="93" t="s">
        <v>95</v>
      </c>
      <c r="F112" s="94">
        <f>ROUND((SUMIF(I81:I107,"2/0",U81:U109))*1.015,0)</f>
        <v>59</v>
      </c>
      <c r="G112" s="93" t="s">
        <v>57</v>
      </c>
      <c r="H112" s="94">
        <f>ROUND((SUMIF(I81:I107,"1/0",U81:U109))*1.015,0)</f>
        <v>0</v>
      </c>
      <c r="I112" s="93" t="s">
        <v>58</v>
      </c>
      <c r="J112" s="94">
        <f>ROUND((SUMIF(I81:I107,"2",U81:U109))*1.015,0)</f>
        <v>0</v>
      </c>
      <c r="L112" s="91"/>
      <c r="M112" s="92"/>
      <c r="N112" s="238"/>
    </row>
    <row r="113" spans="1:31" ht="15.75" hidden="1" thickBot="1" x14ac:dyDescent="0.3">
      <c r="A113" s="239" t="s">
        <v>123</v>
      </c>
      <c r="B113" s="239"/>
      <c r="C113" s="239"/>
      <c r="D113" s="21">
        <f>IF(N68="","",SUM(C81:C107))</f>
        <v>58</v>
      </c>
      <c r="E113" s="28" t="s">
        <v>59</v>
      </c>
      <c r="G113" s="21"/>
      <c r="H113" s="21"/>
      <c r="I113" s="21"/>
      <c r="J113" s="21"/>
      <c r="K113" s="21"/>
      <c r="L113" s="21"/>
      <c r="M113" s="23"/>
      <c r="N113" s="83" t="s">
        <v>80</v>
      </c>
    </row>
    <row r="114" spans="1:31" hidden="1" x14ac:dyDescent="0.25">
      <c r="A114" s="36" t="s">
        <v>60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1"/>
      <c r="N114" s="84" t="s">
        <v>61</v>
      </c>
    </row>
    <row r="115" spans="1:31" ht="15.75" hidden="1" thickBot="1" x14ac:dyDescent="0.3">
      <c r="A115" s="148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3"/>
      <c r="N115" s="85">
        <f>MAX(N81:N107)</f>
        <v>3.16</v>
      </c>
    </row>
    <row r="116" spans="1:31" hidden="1" x14ac:dyDescent="0.25"/>
    <row r="117" spans="1:31" ht="15.75" hidden="1" thickBot="1" x14ac:dyDescent="0.3"/>
    <row r="118" spans="1:31" ht="15.75" hidden="1" thickBot="1" x14ac:dyDescent="0.3">
      <c r="A118" s="18"/>
      <c r="B118" s="18"/>
      <c r="C118" s="19"/>
      <c r="D118" s="19"/>
      <c r="E118" s="19"/>
      <c r="F118" s="20"/>
      <c r="G118" s="18"/>
      <c r="H118" s="18"/>
      <c r="I118" s="18"/>
      <c r="J118" s="19"/>
      <c r="K118" s="18"/>
      <c r="L118" s="18"/>
      <c r="M118" s="131" t="s">
        <v>122</v>
      </c>
      <c r="N118" s="161" t="s">
        <v>196</v>
      </c>
    </row>
    <row r="119" spans="1:31" ht="18" hidden="1" x14ac:dyDescent="0.25">
      <c r="A119" s="260" t="s">
        <v>62</v>
      </c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</row>
    <row r="120" spans="1:31" ht="18" hidden="1" x14ac:dyDescent="0.25">
      <c r="A120" s="192"/>
      <c r="B120" s="192"/>
      <c r="C120" s="192"/>
      <c r="D120" s="192"/>
      <c r="E120" s="192"/>
      <c r="F120" s="22" t="s">
        <v>111</v>
      </c>
      <c r="G120" s="192"/>
      <c r="H120" s="192"/>
      <c r="I120" s="192"/>
      <c r="J120" s="192"/>
      <c r="K120" s="192"/>
      <c r="L120" s="192"/>
      <c r="M120" s="192"/>
      <c r="N120" s="87"/>
    </row>
    <row r="121" spans="1:31" ht="15.75" hidden="1" x14ac:dyDescent="0.25">
      <c r="A121" s="261" t="s">
        <v>112</v>
      </c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U121" s="138" t="s">
        <v>63</v>
      </c>
      <c r="W121" s="138" t="s">
        <v>24</v>
      </c>
      <c r="Y121" s="138" t="s">
        <v>69</v>
      </c>
      <c r="AA121" s="138" t="s">
        <v>72</v>
      </c>
      <c r="AB121" s="138" t="s">
        <v>77</v>
      </c>
      <c r="AC121" s="138" t="s">
        <v>79</v>
      </c>
      <c r="AD121" s="138" t="s">
        <v>160</v>
      </c>
      <c r="AE121" s="138" t="s">
        <v>166</v>
      </c>
    </row>
    <row r="122" spans="1:31" ht="16.5" hidden="1" thickBot="1" x14ac:dyDescent="0.3">
      <c r="A122" s="24"/>
      <c r="B122" s="18"/>
      <c r="C122" s="19"/>
      <c r="D122" s="19"/>
      <c r="E122" s="19"/>
      <c r="F122" s="20"/>
      <c r="G122" s="20"/>
      <c r="H122" s="18"/>
      <c r="I122" s="18"/>
      <c r="J122" s="18"/>
      <c r="K122" s="19"/>
      <c r="L122" s="18"/>
      <c r="M122" s="18"/>
      <c r="N122" s="23"/>
      <c r="U122" s="138" t="s">
        <v>64</v>
      </c>
      <c r="W122" s="138" t="s">
        <v>82</v>
      </c>
      <c r="Y122" s="138" t="s">
        <v>70</v>
      </c>
      <c r="AA122" s="138" t="s">
        <v>73</v>
      </c>
      <c r="AB122" s="138" t="s">
        <v>29</v>
      </c>
      <c r="AC122" s="139">
        <v>2</v>
      </c>
      <c r="AD122" s="138" t="s">
        <v>161</v>
      </c>
      <c r="AE122" s="138">
        <v>0.65</v>
      </c>
    </row>
    <row r="123" spans="1:31" ht="15.75" hidden="1" thickBot="1" x14ac:dyDescent="0.3">
      <c r="A123" s="25" t="s">
        <v>23</v>
      </c>
      <c r="B123" s="26"/>
      <c r="C123" s="88"/>
      <c r="D123" s="250" t="s">
        <v>64</v>
      </c>
      <c r="E123" s="250"/>
      <c r="F123" s="262" t="s">
        <v>92</v>
      </c>
      <c r="G123" s="263"/>
      <c r="H123" s="264" t="e">
        <f>+H64</f>
        <v>#REF!</v>
      </c>
      <c r="I123" s="265"/>
      <c r="J123" s="266"/>
      <c r="K123" s="267" t="s">
        <v>81</v>
      </c>
      <c r="L123" s="268"/>
      <c r="M123" s="269" t="e">
        <f>+M64</f>
        <v>#REF!</v>
      </c>
      <c r="N123" s="270"/>
      <c r="U123" s="138" t="s">
        <v>65</v>
      </c>
      <c r="W123" s="138" t="s">
        <v>83</v>
      </c>
      <c r="Y123" s="138" t="s">
        <v>7</v>
      </c>
      <c r="AA123" s="138" t="s">
        <v>76</v>
      </c>
      <c r="AB123" s="138" t="s">
        <v>78</v>
      </c>
      <c r="AC123" s="139" t="s">
        <v>0</v>
      </c>
      <c r="AD123" s="138" t="s">
        <v>162</v>
      </c>
      <c r="AE123" s="138">
        <v>0.7</v>
      </c>
    </row>
    <row r="124" spans="1:31" ht="15.75" hidden="1" thickBot="1" x14ac:dyDescent="0.3">
      <c r="A124" s="21"/>
      <c r="B124" s="21"/>
      <c r="C124" s="21"/>
      <c r="D124" s="21"/>
      <c r="E124" s="21"/>
      <c r="F124" s="28"/>
      <c r="G124" s="28"/>
      <c r="H124" s="21"/>
      <c r="I124" s="21"/>
      <c r="J124" s="21"/>
      <c r="K124" s="21"/>
      <c r="L124" s="21"/>
      <c r="M124" s="21"/>
      <c r="N124" s="23"/>
      <c r="U124" s="138" t="s">
        <v>66</v>
      </c>
      <c r="W124" s="138" t="s">
        <v>68</v>
      </c>
      <c r="Y124" s="138" t="s">
        <v>27</v>
      </c>
      <c r="AA124" s="138" t="s">
        <v>74</v>
      </c>
      <c r="AC124" s="139" t="s">
        <v>1</v>
      </c>
      <c r="AD124" s="138" t="s">
        <v>163</v>
      </c>
      <c r="AE124" s="138">
        <v>0.8</v>
      </c>
    </row>
    <row r="125" spans="1:31" ht="15.75" hidden="1" thickBot="1" x14ac:dyDescent="0.3">
      <c r="A125" s="25" t="s">
        <v>24</v>
      </c>
      <c r="B125" s="26"/>
      <c r="C125" s="26"/>
      <c r="D125" s="249" t="s">
        <v>68</v>
      </c>
      <c r="E125" s="250"/>
      <c r="F125" s="251"/>
      <c r="G125" s="26"/>
      <c r="H125" s="29"/>
      <c r="I125" s="29"/>
      <c r="J125" s="26"/>
      <c r="K125" s="26"/>
      <c r="L125" s="26" t="s">
        <v>164</v>
      </c>
      <c r="M125" s="26"/>
      <c r="N125" s="211" t="s">
        <v>163</v>
      </c>
      <c r="U125" s="138" t="s">
        <v>67</v>
      </c>
      <c r="Y125" s="138" t="s">
        <v>9</v>
      </c>
      <c r="AA125" s="138" t="s">
        <v>75</v>
      </c>
      <c r="AC125" s="139" t="s">
        <v>2</v>
      </c>
      <c r="AE125" s="138">
        <v>0.9</v>
      </c>
    </row>
    <row r="126" spans="1:31" ht="15.75" hidden="1" thickBot="1" x14ac:dyDescent="0.3">
      <c r="A126" s="23" t="s">
        <v>25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 t="s">
        <v>168</v>
      </c>
      <c r="L126" s="208"/>
      <c r="M126" s="23"/>
      <c r="N126" s="43" t="str">
        <f>IF(N127="","",IF(N127="3F","220 / 127 V","240 / 120 V"))</f>
        <v>220 / 127 V</v>
      </c>
      <c r="AC126" s="141" t="s">
        <v>3</v>
      </c>
      <c r="AE126" s="138">
        <v>1</v>
      </c>
    </row>
    <row r="127" spans="1:31" ht="15.75" hidden="1" thickBot="1" x14ac:dyDescent="0.3">
      <c r="A127" s="30" t="s">
        <v>26</v>
      </c>
      <c r="B127" s="18"/>
      <c r="C127" s="23"/>
      <c r="D127" s="252" t="s">
        <v>70</v>
      </c>
      <c r="E127" s="253"/>
      <c r="F127" s="18"/>
      <c r="G127" s="18"/>
      <c r="H127" s="18"/>
      <c r="I127" s="18"/>
      <c r="J127" s="18"/>
      <c r="K127" s="23"/>
      <c r="L127" s="18" t="s">
        <v>169</v>
      </c>
      <c r="M127" s="18"/>
      <c r="N127" s="151" t="s">
        <v>78</v>
      </c>
      <c r="U127" s="138" t="s">
        <v>64</v>
      </c>
      <c r="W127" s="138" t="s">
        <v>29</v>
      </c>
      <c r="X127" s="138" t="s">
        <v>78</v>
      </c>
    </row>
    <row r="128" spans="1:31" ht="15.75" hidden="1" thickBot="1" x14ac:dyDescent="0.3">
      <c r="A128" s="23"/>
      <c r="B128" s="31"/>
      <c r="C128" s="23"/>
      <c r="D128" s="19"/>
      <c r="E128" s="32"/>
      <c r="F128" s="32"/>
      <c r="G128" s="20"/>
      <c r="H128" s="20"/>
      <c r="I128" s="20"/>
      <c r="J128" s="33"/>
      <c r="K128" s="21" t="s">
        <v>165</v>
      </c>
      <c r="L128" s="35"/>
      <c r="M128" s="18"/>
      <c r="N128" s="209">
        <v>0.8</v>
      </c>
      <c r="U128" s="138" t="s">
        <v>84</v>
      </c>
      <c r="W128" s="138">
        <v>10</v>
      </c>
      <c r="X128" s="138">
        <v>30</v>
      </c>
    </row>
    <row r="129" spans="1:24" ht="15.75" hidden="1" thickBot="1" x14ac:dyDescent="0.3">
      <c r="A129" s="36" t="s">
        <v>71</v>
      </c>
      <c r="B129" s="37"/>
      <c r="C129" s="37"/>
      <c r="D129" s="150" t="s">
        <v>73</v>
      </c>
      <c r="E129" s="38"/>
      <c r="F129" s="39"/>
      <c r="G129" s="39"/>
      <c r="H129" s="39"/>
      <c r="I129" s="39"/>
      <c r="J129" s="37"/>
      <c r="K129" s="36"/>
      <c r="L129" s="37"/>
      <c r="M129" s="89" t="s">
        <v>30</v>
      </c>
      <c r="N129" s="190" t="s">
        <v>132</v>
      </c>
      <c r="U129" s="138" t="s">
        <v>85</v>
      </c>
      <c r="W129" s="138">
        <v>15</v>
      </c>
      <c r="X129" s="138">
        <v>50</v>
      </c>
    </row>
    <row r="130" spans="1:24" ht="15.75" hidden="1" thickBot="1" x14ac:dyDescent="0.3">
      <c r="A130" s="41" t="s">
        <v>31</v>
      </c>
      <c r="B130" s="21"/>
      <c r="C130" s="21"/>
      <c r="D130" s="150">
        <v>19</v>
      </c>
      <c r="E130" s="21"/>
      <c r="F130" s="28"/>
      <c r="G130" s="42" t="s">
        <v>32</v>
      </c>
      <c r="H130" s="254" t="e">
        <f>+H71</f>
        <v>#REF!</v>
      </c>
      <c r="I130" s="255"/>
      <c r="J130" s="255"/>
      <c r="K130" s="41"/>
      <c r="L130" s="21"/>
      <c r="M130" s="115" t="s">
        <v>93</v>
      </c>
      <c r="N130" s="210">
        <f>+N131/N128</f>
        <v>118.72328783502078</v>
      </c>
      <c r="U130" s="138" t="s">
        <v>86</v>
      </c>
      <c r="W130" s="138">
        <v>25</v>
      </c>
      <c r="X130" s="138">
        <v>75</v>
      </c>
    </row>
    <row r="131" spans="1:24" ht="15.75" hidden="1" thickBot="1" x14ac:dyDescent="0.3">
      <c r="A131" s="41" t="s">
        <v>34</v>
      </c>
      <c r="B131" s="21"/>
      <c r="C131" s="21"/>
      <c r="D131" s="162">
        <v>330</v>
      </c>
      <c r="E131" s="41"/>
      <c r="F131" s="28"/>
      <c r="G131" s="42" t="s">
        <v>35</v>
      </c>
      <c r="H131" s="256" t="e">
        <f>+H72</f>
        <v>#REF!</v>
      </c>
      <c r="I131" s="257"/>
      <c r="J131" s="257"/>
      <c r="K131" s="41"/>
      <c r="L131" s="21"/>
      <c r="M131" s="115" t="s">
        <v>167</v>
      </c>
      <c r="N131" s="116">
        <f>IF($N$125="","",IF($N$125="INDUSTRIAL",IF(OR(D123="",D129="",D130=""),"",(IF(OR(D123="SAN CRISTOBAL",D123="FLOREANA"),VLOOKUP(D130,'Estratos SCY - FLO'!$A$4:$M$108,IF(D129="A1",2,IF(D129="A",5,IF(D129="B",8,11))),0),VLOOKUP(D130,'Estratos SCX - ISA'!$A$4:$M$108,IF(D129="A1",2,IF(D129="A",5,IF(D129="B",8,11))),0))+D131/920)*N128),IF(OR(D123="",D129="",D130=""),"",(IF(OR(D123="SAN CRISTOBAL",D123="FLOREANA"),VLOOKUP(D130,'Estratos SCY - FLO'!$O$4:$S$108,IF(D129="A1",2,IF(D129="A",3,IF(D129="B",4,5))),0),VLOOKUP(D130,'Estratos SCX - ISA'!$O$4:$S$108,IF(D129="A1",2,IF(D129="A",3,IF(D129="B",4,5))),0))+D131/920)*N128)))</f>
        <v>94.97863026801663</v>
      </c>
      <c r="U131" s="138" t="s">
        <v>87</v>
      </c>
      <c r="W131" s="138">
        <v>37.5</v>
      </c>
      <c r="X131" s="138">
        <v>100</v>
      </c>
    </row>
    <row r="132" spans="1:24" ht="29.25" hidden="1" customHeight="1" thickBot="1" x14ac:dyDescent="0.3">
      <c r="A132" s="258" t="str">
        <f>+IF(OR(N125="INDUSTRIAL"),"NOTA: Estratos:  A1 (Consumo-Alto); A (Consumo-Medio); B(Consumo-Bajo); C(Consumo-Mínimo)",IF(N125="","","NOTA: Estratos:  A1 (Casco Urbano-Sector hotelero);A (Barrios Centricos); B(Zona Periferica); C(Zona Rural)"))</f>
        <v>NOTA: Estratos:  A1 (Consumo-Alto); A (Consumo-Medio); B(Consumo-Bajo); C(Consumo-Mínimo)</v>
      </c>
      <c r="B132" s="259"/>
      <c r="C132" s="259"/>
      <c r="D132" s="259"/>
      <c r="E132" s="259"/>
      <c r="F132" s="259"/>
      <c r="G132" s="259"/>
      <c r="H132" s="259"/>
      <c r="I132" s="259"/>
      <c r="J132" s="259"/>
      <c r="K132" s="44"/>
      <c r="L132" s="34"/>
      <c r="M132" s="130" t="str">
        <f>+IF(OR(N127="",D129="",D130=""),"","POT. NOMINAL TRAFO. (KVA):")</f>
        <v>POT. NOMINAL TRAFO. (KVA):</v>
      </c>
      <c r="N132" s="117">
        <f>IF(OR(N127="",N128="",N128=0),"",IF(N127="1F",IF(N131&lt;$W$11,$W$11,IF(AND(N131&gt;$W$11,N131&lt;$W$12),$W$12,IF(AND(N131&gt;$W$12,N131&lt;$W$13),$W$13,IF(AND(N131&gt;$W$13,N131&lt;$W$14),$W$14,IF(AND(N131&gt;$W$14,N131&lt;$W$15),$W$15,IF(AND(N131&gt;$W$15,N131&lt;$W$16),$W$16,IF(AND(N131&gt;$W$16,N131&lt;$W$17),$W$17,IF(AND(N131&gt;$W$17,N131&lt;$W$18),$W$18,IF(AND(N131&gt;$W$18,N131&lt;$W$19),$W$19,""))))))))),IF($N$131&lt;$X$11,$X$11,IF(AND(N131&gt;$X$11,N131&lt;$X$12),$X$12,IF(AND(N131&gt;$X$12,N131&lt;$X$13),$X$13,IF(AND(N131&gt;$X$13,N131&lt;$X$14),$X$14,IF(AND(N131&gt;$X$14,N131&lt;$X$15),$X$15,IF(AND(N131&gt;$X$15,N131&lt;$X$16),$X$16,IF(AND(N131&gt;$X$16,N131&lt;$X$17),$X$17,"")))))))))</f>
        <v>100</v>
      </c>
      <c r="U132" s="138" t="s">
        <v>88</v>
      </c>
      <c r="W132" s="138">
        <v>50</v>
      </c>
      <c r="X132" s="138">
        <v>125</v>
      </c>
    </row>
    <row r="133" spans="1:24" ht="15.75" hidden="1" thickBot="1" x14ac:dyDescent="0.3">
      <c r="A133" s="21"/>
      <c r="B133" s="21"/>
      <c r="C133" s="21"/>
      <c r="D133" s="21"/>
      <c r="E133" s="21"/>
      <c r="F133" s="28"/>
      <c r="G133" s="28"/>
      <c r="H133" s="21"/>
      <c r="I133" s="21"/>
      <c r="J133" s="21"/>
      <c r="K133" s="21"/>
      <c r="L133" s="21"/>
      <c r="M133" s="21"/>
      <c r="N133" s="23"/>
      <c r="U133" s="138" t="s">
        <v>89</v>
      </c>
      <c r="W133" s="138">
        <v>75</v>
      </c>
      <c r="X133" s="138">
        <v>150</v>
      </c>
    </row>
    <row r="134" spans="1:24" ht="19.5" hidden="1" thickBot="1" x14ac:dyDescent="0.3">
      <c r="A134" s="46" t="s">
        <v>36</v>
      </c>
      <c r="B134" s="47"/>
      <c r="C134" s="47"/>
      <c r="D134" s="48" t="s">
        <v>37</v>
      </c>
      <c r="E134" s="49"/>
      <c r="F134" s="50"/>
      <c r="G134" s="50"/>
      <c r="H134" s="37"/>
      <c r="I134" s="37"/>
      <c r="J134" s="37"/>
      <c r="K134" s="37"/>
      <c r="L134" s="37"/>
      <c r="M134" s="37"/>
      <c r="N134" s="40"/>
      <c r="U134" s="138" t="s">
        <v>90</v>
      </c>
      <c r="W134" s="138">
        <v>100</v>
      </c>
      <c r="X134" s="138">
        <v>200</v>
      </c>
    </row>
    <row r="135" spans="1:24" ht="15.75" hidden="1" thickBot="1" x14ac:dyDescent="0.3">
      <c r="A135" s="41"/>
      <c r="B135" s="21"/>
      <c r="C135" s="21"/>
      <c r="D135" s="21"/>
      <c r="E135" s="21"/>
      <c r="F135" s="28"/>
      <c r="G135" s="28"/>
      <c r="H135" s="21"/>
      <c r="I135" s="21"/>
      <c r="J135" s="21"/>
      <c r="K135" s="21"/>
      <c r="L135" s="21" t="s">
        <v>186</v>
      </c>
      <c r="M135" s="21"/>
      <c r="N135" s="163"/>
      <c r="U135" s="138" t="s">
        <v>91</v>
      </c>
      <c r="W135" s="138">
        <v>112.5</v>
      </c>
    </row>
    <row r="136" spans="1:24" ht="15.75" hidden="1" thickBot="1" x14ac:dyDescent="0.3">
      <c r="A136" s="44"/>
      <c r="B136" s="34"/>
      <c r="C136" s="34"/>
      <c r="D136" s="34"/>
      <c r="E136" s="34"/>
      <c r="F136" s="45"/>
      <c r="G136" s="45"/>
      <c r="H136" s="34"/>
      <c r="I136" s="34"/>
      <c r="J136" s="34"/>
      <c r="K136" s="34"/>
      <c r="L136" s="113" t="s">
        <v>102</v>
      </c>
      <c r="M136" s="142"/>
      <c r="N136" s="163" t="s">
        <v>146</v>
      </c>
      <c r="W136" s="138">
        <v>125</v>
      </c>
    </row>
    <row r="137" spans="1:24" ht="15.75" hidden="1" thickBot="1" x14ac:dyDescent="0.3">
      <c r="A137" s="21"/>
      <c r="B137" s="21"/>
      <c r="C137" s="21"/>
      <c r="D137" s="21"/>
      <c r="E137" s="21"/>
      <c r="F137" s="28"/>
      <c r="G137" s="28"/>
      <c r="H137" s="21"/>
      <c r="I137" s="21"/>
      <c r="J137" s="21"/>
      <c r="K137" s="21"/>
      <c r="L137" s="21"/>
      <c r="M137" s="21"/>
      <c r="N137" s="23"/>
    </row>
    <row r="138" spans="1:24" ht="15.75" hidden="1" thickBot="1" x14ac:dyDescent="0.3">
      <c r="A138" s="244" t="s">
        <v>38</v>
      </c>
      <c r="B138" s="245"/>
      <c r="C138" s="52" t="s">
        <v>39</v>
      </c>
      <c r="D138" s="52" t="s">
        <v>40</v>
      </c>
      <c r="E138" s="53" t="s">
        <v>41</v>
      </c>
      <c r="F138" s="53" t="s">
        <v>42</v>
      </c>
      <c r="G138" s="244" t="s">
        <v>43</v>
      </c>
      <c r="H138" s="246"/>
      <c r="I138" s="246"/>
      <c r="J138" s="245"/>
      <c r="K138" s="247" t="s">
        <v>44</v>
      </c>
      <c r="L138" s="246" t="s">
        <v>45</v>
      </c>
      <c r="M138" s="246"/>
      <c r="N138" s="245"/>
      <c r="U138" s="236" t="s">
        <v>98</v>
      </c>
      <c r="V138" s="236" t="s">
        <v>99</v>
      </c>
    </row>
    <row r="139" spans="1:24" ht="15.75" hidden="1" thickBot="1" x14ac:dyDescent="0.3">
      <c r="A139" s="52" t="s">
        <v>46</v>
      </c>
      <c r="B139" s="52" t="s">
        <v>47</v>
      </c>
      <c r="C139" s="54" t="s">
        <v>48</v>
      </c>
      <c r="D139" s="54" t="s">
        <v>49</v>
      </c>
      <c r="E139" s="55" t="s">
        <v>50</v>
      </c>
      <c r="F139" s="55" t="s">
        <v>51</v>
      </c>
      <c r="G139" s="56" t="s">
        <v>52</v>
      </c>
      <c r="H139" s="43" t="s">
        <v>105</v>
      </c>
      <c r="I139" s="124" t="s">
        <v>106</v>
      </c>
      <c r="J139" s="43" t="s">
        <v>53</v>
      </c>
      <c r="K139" s="248"/>
      <c r="L139" s="53" t="s">
        <v>54</v>
      </c>
      <c r="M139" s="43" t="s">
        <v>55</v>
      </c>
      <c r="N139" s="57" t="s">
        <v>56</v>
      </c>
      <c r="U139" s="236"/>
      <c r="V139" s="236"/>
    </row>
    <row r="140" spans="1:24" hidden="1" x14ac:dyDescent="0.25">
      <c r="A140" s="191" t="str">
        <f>IF(N136="","",N136)</f>
        <v>P22</v>
      </c>
      <c r="B140" s="164" t="s">
        <v>145</v>
      </c>
      <c r="C140" s="165">
        <v>29</v>
      </c>
      <c r="D140" s="165">
        <v>5</v>
      </c>
      <c r="E140" s="166">
        <v>110</v>
      </c>
      <c r="F140" s="193">
        <f>IF($N$125="","",IF($N$125="INDUSTRIAL",IF(OR($D$123="",$D$129=""),"",IF(OR(D140&gt;$D$130,E140&gt;$D$131),"Rev. Total. abona.",IF(D140="",IF(E140="","",E140/(0.92*1000)),IF(OR($D$123="SAN CRISTOBAL",$D$123="FLOREANA"),VLOOKUP(D140,'Estratos SCY - FLO'!$A$4:$M$108,IF($D$129="A1",2,IF($D$129="A",5,IF($D$129="B",8,11))))+E140/(0.92*1000),VLOOKUP(D140,'Estratos SCX - ISA'!$A$3:$M$107,IF($D$129="A1",2,IF($D$129="A",5,IF($D$129="B",8,11))))+E140/(0.92*1000))))),IF(OR($D$123="",$D$129=""),"",IF(OR(D140&gt;$D$130,E140&gt;$D$131),"Rev. Total. abona.",IF(D140="",IF(E140="","",E140/(0.92*1000)),IF(OR($D$123="SAN CRISTOBAL",$D$123="FLOREANA"),VLOOKUP(D140,'Estratos SCY - FLO'!$O$4:$S$108,IF($D$129="A1",2,IF($D$129="A",3,IF($D$129="B",4,5))))+E140/(0.92*1000),VLOOKUP(D140,'Estratos SCX - ISA'!$O$4:$S$108,IF($D$129="A1",2,IF($D$129="A",3,IF($D$129="B",4,5))))+E140/(0.92*1000)))))))</f>
        <v>35.24475934799689</v>
      </c>
      <c r="G140" s="95">
        <f>IF(OR($N$10="",C140=""),"",IF($N$10="1F",1,3))</f>
        <v>1</v>
      </c>
      <c r="H140" s="182" t="s">
        <v>1</v>
      </c>
      <c r="I140" s="182" t="s">
        <v>1</v>
      </c>
      <c r="J140" s="95">
        <f>IF(OR(H140="",$D$10="",$N$10=""),"",IF($D$10="COBRE",VLOOKUP(CDV_PROY_BT!H140,FDV!$B$16:$E$24,IF(CDV_PROY_BT!$N$10="3F",3,4),FALSE),IF($D$10="ACS",VLOOKUP(CDV_PROY_BT!H140,FDV!$B$10:$E$15,IF(CDV_PROY_BT!$N$10="3F",3,4),FALSE),IF($D$10="5005 (PREENSAMBLADO)",VLOOKUP(CDV_PROY_BT!H140,FDV!$B$4:$E$9,IF(CDV_PROY_BT!$N$10="3F",3,4),FALSE),VLOOKUP(CDV_PROY_BT!H140,FDV!$B$25:$E$30,IF(CDV_PROY_BT!$N$10="3F",3,4),FALSE)))))</f>
        <v>495</v>
      </c>
      <c r="K140" s="60">
        <f t="shared" ref="K140:K167" si="18">IF(C140="","",ROUND(F140*C140,0))</f>
        <v>1022</v>
      </c>
      <c r="L140" s="61">
        <f>IF($N$19="","",IF(C140="","",ROUND(K140/J140,2)))</f>
        <v>2.06</v>
      </c>
      <c r="M140" s="61">
        <f>IF(C140="","",VLOOKUP(A140,$B$140:$N$167,12,FALSE)+L140+N135)</f>
        <v>2.06</v>
      </c>
      <c r="N140" s="154">
        <f>+M140</f>
        <v>2.06</v>
      </c>
      <c r="U140" s="138">
        <f>+IF(C140="",0,C140)</f>
        <v>29</v>
      </c>
      <c r="V140" s="138">
        <f>IF(OR(C140="",G140=""),0,C140*G140)</f>
        <v>29</v>
      </c>
    </row>
    <row r="141" spans="1:24" hidden="1" x14ac:dyDescent="0.25">
      <c r="A141" s="167" t="s">
        <v>146</v>
      </c>
      <c r="B141" s="168" t="s">
        <v>201</v>
      </c>
      <c r="C141" s="169">
        <v>29</v>
      </c>
      <c r="D141" s="169">
        <v>8</v>
      </c>
      <c r="E141" s="170">
        <v>110</v>
      </c>
      <c r="F141" s="62">
        <f>IF($N$125="","",IF($N$125="INDUSTRIAL",IF(OR($D$123="",$D$129=""),"",IF(OR(D141&gt;$D$130,E141&gt;$D$131),"Rev. Total. abona.",IF(D141="",IF(E141="","",E141/(0.92*1000)),IF(OR($D$123="SAN CRISTOBAL",$D$123="FLOREANA"),VLOOKUP(D141,'Estratos SCY - FLO'!$A$4:$M$108,IF($D$129="A1",2,IF($D$129="A",5,IF($D$129="B",8,11))))+E141/(0.92*1000),VLOOKUP(D141,'Estratos SCX - ISA'!$A$3:$M$107,IF($D$129="A1",2,IF($D$129="A",5,IF($D$129="B",8,11))))+E141/(0.92*1000))))),IF(OR($D$123="",$D$129=""),"",IF(OR(D141&gt;$D$130,E141&gt;$D$131),"Rev. Total. abona.",IF(D141="",IF(E141="","",E141/(0.92*1000)),IF(OR($D$123="SAN CRISTOBAL",$D$123="FLOREANA"),VLOOKUP(D141,'Estratos SCY - FLO'!$O$4:$S$108,IF($D$129="A1",2,IF($D$129="A",3,IF($D$129="B",4,5))))+E141/(0.92*1000),VLOOKUP(D141,'Estratos SCX - ISA'!$O$4:$S$108,IF($D$129="A1",2,IF($D$129="A",3,IF($D$129="B",4,5))))+E141/(0.92*1000)))))))</f>
        <v>53.992162913497431</v>
      </c>
      <c r="G141" s="59">
        <f t="shared" ref="G141:G167" si="19">IF(OR($N$10="",C141=""),"",IF($N$10="1F",1,3))</f>
        <v>1</v>
      </c>
      <c r="H141" s="183" t="s">
        <v>1</v>
      </c>
      <c r="I141" s="183" t="s">
        <v>1</v>
      </c>
      <c r="J141" s="59">
        <f>IF(OR(H141="",$D$10="",$N$10=""),"",IF($D$10="COBRE",VLOOKUP(CDV_PROY_BT!H141,FDV!$B$16:$E$24,IF(CDV_PROY_BT!$N$10="3F",3,4),FALSE),IF($D$10="ACS",VLOOKUP(CDV_PROY_BT!H141,FDV!$B$10:$E$15,IF(CDV_PROY_BT!$N$10="3F",3,4),FALSE),IF($D$10="5005 (PREENSAMBLADO)",VLOOKUP(CDV_PROY_BT!H141,FDV!$B$4:$E$9,IF(CDV_PROY_BT!$N$10="3F",3,4),FALSE),VLOOKUP(CDV_PROY_BT!H141,FDV!$B$25:$E$30,IF(CDV_PROY_BT!$N$10="3F",3,4),FALSE)))))</f>
        <v>495</v>
      </c>
      <c r="K141" s="63">
        <f t="shared" si="18"/>
        <v>1566</v>
      </c>
      <c r="L141" s="62">
        <f t="shared" ref="L141:L166" si="20">IF($N$19="","",IF(C141="","",ROUND(K141/J141,2)))</f>
        <v>3.16</v>
      </c>
      <c r="M141" s="62">
        <f t="shared" ref="M141:M166" si="21">IF(C141="","",VLOOKUP(A141,$B$140:$N$167,12,FALSE)+L141)</f>
        <v>3.16</v>
      </c>
      <c r="N141" s="155">
        <f>+M141</f>
        <v>3.16</v>
      </c>
      <c r="U141" s="138">
        <f t="shared" ref="U141:U166" si="22">+IF(C141="",0,C141)</f>
        <v>29</v>
      </c>
      <c r="V141" s="138">
        <f t="shared" ref="V141:V166" si="23">IF(OR(C141="",G141=""),0,C141*G141)</f>
        <v>29</v>
      </c>
    </row>
    <row r="142" spans="1:24" hidden="1" x14ac:dyDescent="0.25">
      <c r="A142" s="167"/>
      <c r="B142" s="168"/>
      <c r="C142" s="169"/>
      <c r="D142" s="169"/>
      <c r="E142" s="170"/>
      <c r="F142" s="58" t="str">
        <f>IF($N$125="","",IF($N$125="INDUSTRIAL",IF(OR($D$123="",$D$129=""),"",IF(OR(D142&gt;$D$130,E142&gt;$D$131),"Rev. Total. abona.",IF(D142="",IF(E142="","",E142/(0.92*1000)),IF(OR($D$123="SAN CRISTOBAL",$D$123="FLOREANA"),VLOOKUP(D142,'Estratos SCY - FLO'!$A$4:$M$108,IF($D$129="A1",2,IF($D$129="A",5,IF($D$129="B",8,11))))+E142/(0.92*1000),VLOOKUP(D142,'Estratos SCX - ISA'!$A$3:$M$107,IF($D$129="A1",2,IF($D$129="A",5,IF($D$129="B",8,11))))+E142/(0.92*1000))))),IF(OR($D$123="",$D$129=""),"",IF(OR(D142&gt;$D$130,E142&gt;$D$131),"Rev. Total. abona.",IF(D142="",IF(E142="","",E142/(0.92*1000)),IF(OR($D$123="SAN CRISTOBAL",$D$123="FLOREANA"),VLOOKUP(D142,'Estratos SCY - FLO'!$O$4:$S$108,IF($D$129="A1",2,IF($D$129="A",3,IF($D$129="B",4,5))))+E142/(0.92*1000),VLOOKUP(D142,'Estratos SCX - ISA'!$O$4:$S$108,IF($D$129="A1",2,IF($D$129="A",3,IF($D$129="B",4,5))))+E142/(0.92*1000)))))))</f>
        <v/>
      </c>
      <c r="G142" s="59" t="str">
        <f t="shared" si="19"/>
        <v/>
      </c>
      <c r="H142" s="183"/>
      <c r="I142" s="183"/>
      <c r="J142" s="59" t="str">
        <f>IF(OR(H142="",$D$10="",$N$10=""),"",IF($D$10="COBRE",VLOOKUP(CDV_PROY_BT!H142,FDV!$B$16:$E$24,IF(CDV_PROY_BT!$N$10="3F",3,4),FALSE),IF($D$10="ACS",VLOOKUP(CDV_PROY_BT!H142,FDV!$B$10:$E$15,IF(CDV_PROY_BT!$N$10="3F",3,4),FALSE),IF($D$10="5005 (PREENSAMBLADO)",VLOOKUP(CDV_PROY_BT!H142,FDV!$B$4:$E$9,IF(CDV_PROY_BT!$N$10="3F",3,4),FALSE),VLOOKUP(CDV_PROY_BT!H142,FDV!$B$25:$E$30,IF(CDV_PROY_BT!$N$10="3F",3,4),FALSE)))))</f>
        <v/>
      </c>
      <c r="K142" s="63" t="str">
        <f t="shared" si="18"/>
        <v/>
      </c>
      <c r="L142" s="62" t="str">
        <f t="shared" si="20"/>
        <v/>
      </c>
      <c r="M142" s="62" t="str">
        <f t="shared" si="21"/>
        <v/>
      </c>
      <c r="N142" s="155"/>
      <c r="U142" s="138">
        <f t="shared" si="22"/>
        <v>0</v>
      </c>
      <c r="V142" s="138">
        <f t="shared" si="23"/>
        <v>0</v>
      </c>
    </row>
    <row r="143" spans="1:24" hidden="1" x14ac:dyDescent="0.25">
      <c r="A143" s="167"/>
      <c r="B143" s="168"/>
      <c r="C143" s="169"/>
      <c r="D143" s="169"/>
      <c r="E143" s="170"/>
      <c r="F143" s="58" t="str">
        <f>IF($N$125="","",IF($N$125="INDUSTRIAL",IF(OR($D$123="",$D$129=""),"",IF(OR(D143&gt;$D$130,E143&gt;$D$131),"Rev. Total. abona.",IF(D143="",IF(E143="","",E143/(0.92*1000)),IF(OR($D$123="SAN CRISTOBAL",$D$123="FLOREANA"),VLOOKUP(D143,'Estratos SCY - FLO'!$A$4:$M$108,IF($D$129="A1",2,IF($D$129="A",5,IF($D$129="B",8,11))))+E143/(0.92*1000),VLOOKUP(D143,'Estratos SCX - ISA'!$A$3:$M$107,IF($D$129="A1",2,IF($D$129="A",5,IF($D$129="B",8,11))))+E143/(0.92*1000))))),IF(OR($D$123="",$D$129=""),"",IF(OR(D143&gt;$D$130,E143&gt;$D$131),"Rev. Total. abona.",IF(D143="",IF(E143="","",E143/(0.92*1000)),IF(OR($D$123="SAN CRISTOBAL",$D$123="FLOREANA"),VLOOKUP(D143,'Estratos SCY - FLO'!$O$4:$S$108,IF($D$129="A1",2,IF($D$129="A",3,IF($D$129="B",4,5))))+E143/(0.92*1000),VLOOKUP(D143,'Estratos SCX - ISA'!$O$4:$S$108,IF($D$129="A1",2,IF($D$129="A",3,IF($D$129="B",4,5))))+E143/(0.92*1000)))))))</f>
        <v/>
      </c>
      <c r="G143" s="59" t="str">
        <f t="shared" si="19"/>
        <v/>
      </c>
      <c r="H143" s="183"/>
      <c r="I143" s="183"/>
      <c r="J143" s="59" t="str">
        <f>IF(OR(H143="",$D$10="",$N$10=""),"",IF($D$10="COBRE",VLOOKUP(CDV_PROY_BT!H143,FDV!$B$16:$E$24,IF(CDV_PROY_BT!$N$10="3F",3,4),FALSE),IF($D$10="ACS",VLOOKUP(CDV_PROY_BT!H143,FDV!$B$10:$E$15,IF(CDV_PROY_BT!$N$10="3F",3,4),FALSE),IF($D$10="5005 (PREENSAMBLADO)",VLOOKUP(CDV_PROY_BT!H143,FDV!$B$4:$E$9,IF(CDV_PROY_BT!$N$10="3F",3,4),FALSE),VLOOKUP(CDV_PROY_BT!H143,FDV!$B$25:$E$30,IF(CDV_PROY_BT!$N$10="3F",3,4),FALSE)))))</f>
        <v/>
      </c>
      <c r="K143" s="63" t="str">
        <f t="shared" si="18"/>
        <v/>
      </c>
      <c r="L143" s="62" t="str">
        <f t="shared" si="20"/>
        <v/>
      </c>
      <c r="M143" s="62" t="str">
        <f t="shared" si="21"/>
        <v/>
      </c>
      <c r="N143" s="155"/>
      <c r="U143" s="138">
        <f t="shared" si="22"/>
        <v>0</v>
      </c>
      <c r="V143" s="138">
        <f t="shared" si="23"/>
        <v>0</v>
      </c>
    </row>
    <row r="144" spans="1:24" hidden="1" x14ac:dyDescent="0.25">
      <c r="A144" s="167"/>
      <c r="B144" s="168"/>
      <c r="C144" s="169"/>
      <c r="D144" s="169"/>
      <c r="E144" s="170"/>
      <c r="F144" s="58" t="str">
        <f>IF($N$125="","",IF($N$125="INDUSTRIAL",IF(OR($D$123="",$D$129=""),"",IF(OR(D144&gt;$D$130,E144&gt;$D$131),"Rev. Total. abona.",IF(D144="",IF(E144="","",E144/(0.92*1000)),IF(OR($D$123="SAN CRISTOBAL",$D$123="FLOREANA"),VLOOKUP(D144,'Estratos SCY - FLO'!$A$4:$M$108,IF($D$129="A1",2,IF($D$129="A",5,IF($D$129="B",8,11))))+E144/(0.92*1000),VLOOKUP(D144,'Estratos SCX - ISA'!$A$3:$M$107,IF($D$129="A1",2,IF($D$129="A",5,IF($D$129="B",8,11))))+E144/(0.92*1000))))),IF(OR($D$123="",$D$129=""),"",IF(OR(D144&gt;$D$130,E144&gt;$D$131),"Rev. Total. abona.",IF(D144="",IF(E144="","",E144/(0.92*1000)),IF(OR($D$123="SAN CRISTOBAL",$D$123="FLOREANA"),VLOOKUP(D144,'Estratos SCY - FLO'!$O$4:$S$108,IF($D$129="A1",2,IF($D$129="A",3,IF($D$129="B",4,5))))+E144/(0.92*1000),VLOOKUP(D144,'Estratos SCX - ISA'!$O$4:$S$108,IF($D$129="A1",2,IF($D$129="A",3,IF($D$129="B",4,5))))+E144/(0.92*1000)))))))</f>
        <v/>
      </c>
      <c r="G144" s="59" t="str">
        <f t="shared" si="19"/>
        <v/>
      </c>
      <c r="H144" s="183"/>
      <c r="I144" s="183"/>
      <c r="J144" s="59" t="str">
        <f>IF(OR(H144="",$D$10="",$N$10=""),"",IF($D$10="COBRE",VLOOKUP(CDV_PROY_BT!H144,FDV!$B$16:$E$24,IF(CDV_PROY_BT!$N$10="3F",3,4),FALSE),IF($D$10="ACS",VLOOKUP(CDV_PROY_BT!H144,FDV!$B$10:$E$15,IF(CDV_PROY_BT!$N$10="3F",3,4),FALSE),IF($D$10="5005 (PREENSAMBLADO)",VLOOKUP(CDV_PROY_BT!H144,FDV!$B$4:$E$9,IF(CDV_PROY_BT!$N$10="3F",3,4),FALSE),VLOOKUP(CDV_PROY_BT!H144,FDV!$B$25:$E$30,IF(CDV_PROY_BT!$N$10="3F",3,4),FALSE)))))</f>
        <v/>
      </c>
      <c r="K144" s="63" t="str">
        <f t="shared" si="18"/>
        <v/>
      </c>
      <c r="L144" s="62" t="str">
        <f t="shared" si="20"/>
        <v/>
      </c>
      <c r="M144" s="62" t="str">
        <f t="shared" si="21"/>
        <v/>
      </c>
      <c r="N144" s="155"/>
      <c r="U144" s="138">
        <f t="shared" si="22"/>
        <v>0</v>
      </c>
      <c r="V144" s="138">
        <f t="shared" si="23"/>
        <v>0</v>
      </c>
    </row>
    <row r="145" spans="1:22" hidden="1" x14ac:dyDescent="0.25">
      <c r="A145" s="167"/>
      <c r="B145" s="168"/>
      <c r="C145" s="169"/>
      <c r="D145" s="169"/>
      <c r="E145" s="170"/>
      <c r="F145" s="58" t="str">
        <f>IF($N$125="","",IF($N$125="INDUSTRIAL",IF(OR($D$123="",$D$129=""),"",IF(OR(D145&gt;$D$130,E145&gt;$D$131),"Rev. Total. abona.",IF(D145="",IF(E145="","",E145/(0.92*1000)),IF(OR($D$123="SAN CRISTOBAL",$D$123="FLOREANA"),VLOOKUP(D145,'Estratos SCY - FLO'!$A$4:$M$108,IF($D$129="A1",2,IF($D$129="A",5,IF($D$129="B",8,11))))+E145/(0.92*1000),VLOOKUP(D145,'Estratos SCX - ISA'!$A$3:$M$107,IF($D$129="A1",2,IF($D$129="A",5,IF($D$129="B",8,11))))+E145/(0.92*1000))))),IF(OR($D$123="",$D$129=""),"",IF(OR(D145&gt;$D$130,E145&gt;$D$131),"Rev. Total. abona.",IF(D145="",IF(E145="","",E145/(0.92*1000)),IF(OR($D$123="SAN CRISTOBAL",$D$123="FLOREANA"),VLOOKUP(D145,'Estratos SCY - FLO'!$O$4:$S$108,IF($D$129="A1",2,IF($D$129="A",3,IF($D$129="B",4,5))))+E145/(0.92*1000),VLOOKUP(D145,'Estratos SCX - ISA'!$O$4:$S$108,IF($D$129="A1",2,IF($D$129="A",3,IF($D$129="B",4,5))))+E145/(0.92*1000)))))))</f>
        <v/>
      </c>
      <c r="G145" s="59" t="str">
        <f t="shared" si="19"/>
        <v/>
      </c>
      <c r="H145" s="183"/>
      <c r="I145" s="183"/>
      <c r="J145" s="59" t="str">
        <f>IF(OR(H145="",$D$10="",$N$10=""),"",IF($D$10="COBRE",VLOOKUP(CDV_PROY_BT!H145,FDV!$B$16:$E$24,IF(CDV_PROY_BT!$N$10="3F",3,4),FALSE),IF($D$10="ACS",VLOOKUP(CDV_PROY_BT!H145,FDV!$B$10:$E$15,IF(CDV_PROY_BT!$N$10="3F",3,4),FALSE),IF($D$10="5005 (PREENSAMBLADO)",VLOOKUP(CDV_PROY_BT!H145,FDV!$B$4:$E$9,IF(CDV_PROY_BT!$N$10="3F",3,4),FALSE),VLOOKUP(CDV_PROY_BT!H145,FDV!$B$25:$E$30,IF(CDV_PROY_BT!$N$10="3F",3,4),FALSE)))))</f>
        <v/>
      </c>
      <c r="K145" s="63" t="str">
        <f t="shared" si="18"/>
        <v/>
      </c>
      <c r="L145" s="62" t="str">
        <f t="shared" si="20"/>
        <v/>
      </c>
      <c r="M145" s="62" t="str">
        <f t="shared" si="21"/>
        <v/>
      </c>
      <c r="N145" s="155"/>
      <c r="U145" s="138">
        <f t="shared" si="22"/>
        <v>0</v>
      </c>
      <c r="V145" s="138">
        <f t="shared" si="23"/>
        <v>0</v>
      </c>
    </row>
    <row r="146" spans="1:22" hidden="1" x14ac:dyDescent="0.25">
      <c r="A146" s="167"/>
      <c r="B146" s="168"/>
      <c r="C146" s="169"/>
      <c r="D146" s="169"/>
      <c r="E146" s="170"/>
      <c r="F146" s="58" t="str">
        <f>IF($N$125="","",IF($N$125="INDUSTRIAL",IF(OR($D$123="",$D$129=""),"",IF(OR(D146&gt;$D$130,E146&gt;$D$131),"Rev. Total. abona.",IF(D146="",IF(E146="","",E146/(0.92*1000)),IF(OR($D$123="SAN CRISTOBAL",$D$123="FLOREANA"),VLOOKUP(D146,'Estratos SCY - FLO'!$A$4:$M$108,IF($D$129="A1",2,IF($D$129="A",5,IF($D$129="B",8,11))))+E146/(0.92*1000),VLOOKUP(D146,'Estratos SCX - ISA'!$A$3:$M$107,IF($D$129="A1",2,IF($D$129="A",5,IF($D$129="B",8,11))))+E146/(0.92*1000))))),IF(OR($D$123="",$D$129=""),"",IF(OR(D146&gt;$D$130,E146&gt;$D$131),"Rev. Total. abona.",IF(D146="",IF(E146="","",E146/(0.92*1000)),IF(OR($D$123="SAN CRISTOBAL",$D$123="FLOREANA"),VLOOKUP(D146,'Estratos SCY - FLO'!$O$4:$S$108,IF($D$129="A1",2,IF($D$129="A",3,IF($D$129="B",4,5))))+E146/(0.92*1000),VLOOKUP(D146,'Estratos SCX - ISA'!$O$4:$S$108,IF($D$129="A1",2,IF($D$129="A",3,IF($D$129="B",4,5))))+E146/(0.92*1000)))))))</f>
        <v/>
      </c>
      <c r="G146" s="59" t="str">
        <f t="shared" si="19"/>
        <v/>
      </c>
      <c r="H146" s="183"/>
      <c r="I146" s="183"/>
      <c r="J146" s="59" t="str">
        <f>IF(OR(H146="",$D$10="",$N$10=""),"",IF($D$10="COBRE",VLOOKUP(CDV_PROY_BT!H146,FDV!$B$16:$E$24,IF(CDV_PROY_BT!$N$10="3F",3,4),FALSE),IF($D$10="ACS",VLOOKUP(CDV_PROY_BT!H146,FDV!$B$10:$E$15,IF(CDV_PROY_BT!$N$10="3F",3,4),FALSE),IF($D$10="5005 (PREENSAMBLADO)",VLOOKUP(CDV_PROY_BT!H146,FDV!$B$4:$E$9,IF(CDV_PROY_BT!$N$10="3F",3,4),FALSE),VLOOKUP(CDV_PROY_BT!H146,FDV!$B$25:$E$30,IF(CDV_PROY_BT!$N$10="3F",3,4),FALSE)))))</f>
        <v/>
      </c>
      <c r="K146" s="63" t="str">
        <f t="shared" si="18"/>
        <v/>
      </c>
      <c r="L146" s="62" t="str">
        <f t="shared" si="20"/>
        <v/>
      </c>
      <c r="M146" s="62" t="str">
        <f t="shared" si="21"/>
        <v/>
      </c>
      <c r="N146" s="155"/>
      <c r="U146" s="138">
        <f t="shared" si="22"/>
        <v>0</v>
      </c>
      <c r="V146" s="138">
        <f t="shared" si="23"/>
        <v>0</v>
      </c>
    </row>
    <row r="147" spans="1:22" hidden="1" x14ac:dyDescent="0.25">
      <c r="A147" s="167"/>
      <c r="B147" s="168"/>
      <c r="C147" s="169"/>
      <c r="D147" s="169"/>
      <c r="E147" s="170"/>
      <c r="F147" s="58" t="str">
        <f>IF($N$125="","",IF($N$125="INDUSTRIAL",IF(OR($D$123="",$D$129=""),"",IF(OR(D147&gt;$D$130,E147&gt;$D$131),"Rev. Total. abona.",IF(D147="",IF(E147="","",E147/(0.92*1000)),IF(OR($D$123="SAN CRISTOBAL",$D$123="FLOREANA"),VLOOKUP(D147,'Estratos SCY - FLO'!$A$4:$M$108,IF($D$129="A1",2,IF($D$129="A",5,IF($D$129="B",8,11))))+E147/(0.92*1000),VLOOKUP(D147,'Estratos SCX - ISA'!$A$3:$M$107,IF($D$129="A1",2,IF($D$129="A",5,IF($D$129="B",8,11))))+E147/(0.92*1000))))),IF(OR($D$123="",$D$129=""),"",IF(OR(D147&gt;$D$130,E147&gt;$D$131),"Rev. Total. abona.",IF(D147="",IF(E147="","",E147/(0.92*1000)),IF(OR($D$123="SAN CRISTOBAL",$D$123="FLOREANA"),VLOOKUP(D147,'Estratos SCY - FLO'!$O$4:$S$108,IF($D$129="A1",2,IF($D$129="A",3,IF($D$129="B",4,5))))+E147/(0.92*1000),VLOOKUP(D147,'Estratos SCX - ISA'!$O$4:$S$108,IF($D$129="A1",2,IF($D$129="A",3,IF($D$129="B",4,5))))+E147/(0.92*1000)))))))</f>
        <v/>
      </c>
      <c r="G147" s="59" t="str">
        <f t="shared" si="19"/>
        <v/>
      </c>
      <c r="H147" s="183"/>
      <c r="I147" s="183"/>
      <c r="J147" s="59" t="str">
        <f>IF(OR(H147="",$D$10="",$N$10=""),"",IF($D$10="COBRE",VLOOKUP(CDV_PROY_BT!H147,FDV!$B$16:$E$24,IF(CDV_PROY_BT!$N$10="3F",3,4),FALSE),IF($D$10="ACS",VLOOKUP(CDV_PROY_BT!H147,FDV!$B$10:$E$15,IF(CDV_PROY_BT!$N$10="3F",3,4),FALSE),IF($D$10="5005 (PREENSAMBLADO)",VLOOKUP(CDV_PROY_BT!H147,FDV!$B$4:$E$9,IF(CDV_PROY_BT!$N$10="3F",3,4),FALSE),VLOOKUP(CDV_PROY_BT!H147,FDV!$B$25:$E$30,IF(CDV_PROY_BT!$N$10="3F",3,4),FALSE)))))</f>
        <v/>
      </c>
      <c r="K147" s="63" t="str">
        <f t="shared" si="18"/>
        <v/>
      </c>
      <c r="L147" s="62" t="str">
        <f t="shared" si="20"/>
        <v/>
      </c>
      <c r="M147" s="62" t="str">
        <f t="shared" si="21"/>
        <v/>
      </c>
      <c r="N147" s="155"/>
      <c r="U147" s="138">
        <f t="shared" si="22"/>
        <v>0</v>
      </c>
      <c r="V147" s="138">
        <f t="shared" si="23"/>
        <v>0</v>
      </c>
    </row>
    <row r="148" spans="1:22" hidden="1" x14ac:dyDescent="0.25">
      <c r="A148" s="171"/>
      <c r="B148" s="172"/>
      <c r="C148" s="173"/>
      <c r="D148" s="173"/>
      <c r="E148" s="170"/>
      <c r="F148" s="58" t="str">
        <f>IF($N$125="","",IF($N$125="INDUSTRIAL",IF(OR($D$123="",$D$129=""),"",IF(OR(D148&gt;$D$130,E148&gt;$D$131),"Rev. Total. abona.",IF(D148="",IF(E148="","",E148/(0.92*1000)),IF(OR($D$123="SAN CRISTOBAL",$D$123="FLOREANA"),VLOOKUP(D148,'Estratos SCY - FLO'!$A$4:$M$108,IF($D$129="A1",2,IF($D$129="A",5,IF($D$129="B",8,11))))+E148/(0.92*1000),VLOOKUP(D148,'Estratos SCX - ISA'!$A$3:$M$107,IF($D$129="A1",2,IF($D$129="A",5,IF($D$129="B",8,11))))+E148/(0.92*1000))))),IF(OR($D$123="",$D$129=""),"",IF(OR(D148&gt;$D$130,E148&gt;$D$131),"Rev. Total. abona.",IF(D148="",IF(E148="","",E148/(0.92*1000)),IF(OR($D$123="SAN CRISTOBAL",$D$123="FLOREANA"),VLOOKUP(D148,'Estratos SCY - FLO'!$O$4:$S$108,IF($D$129="A1",2,IF($D$129="A",3,IF($D$129="B",4,5))))+E148/(0.92*1000),VLOOKUP(D148,'Estratos SCX - ISA'!$O$4:$S$108,IF($D$129="A1",2,IF($D$129="A",3,IF($D$129="B",4,5))))+E148/(0.92*1000)))))))</f>
        <v/>
      </c>
      <c r="G148" s="59" t="str">
        <f t="shared" si="19"/>
        <v/>
      </c>
      <c r="H148" s="183"/>
      <c r="I148" s="183"/>
      <c r="J148" s="59" t="str">
        <f>IF(OR(H148="",$D$10="",$N$10=""),"",IF($D$10="COBRE",VLOOKUP(CDV_PROY_BT!H148,FDV!$B$16:$E$24,IF(CDV_PROY_BT!$N$10="3F",3,4),FALSE),IF($D$10="ACS",VLOOKUP(CDV_PROY_BT!H148,FDV!$B$10:$E$15,IF(CDV_PROY_BT!$N$10="3F",3,4),FALSE),IF($D$10="5005 (PREENSAMBLADO)",VLOOKUP(CDV_PROY_BT!H148,FDV!$B$4:$E$9,IF(CDV_PROY_BT!$N$10="3F",3,4),FALSE),VLOOKUP(CDV_PROY_BT!H148,FDV!$B$25:$E$30,IF(CDV_PROY_BT!$N$10="3F",3,4),FALSE)))))</f>
        <v/>
      </c>
      <c r="K148" s="63" t="str">
        <f t="shared" si="18"/>
        <v/>
      </c>
      <c r="L148" s="62" t="str">
        <f t="shared" si="20"/>
        <v/>
      </c>
      <c r="M148" s="62" t="str">
        <f t="shared" si="21"/>
        <v/>
      </c>
      <c r="N148" s="155"/>
      <c r="U148" s="138">
        <f t="shared" si="22"/>
        <v>0</v>
      </c>
      <c r="V148" s="138">
        <f t="shared" si="23"/>
        <v>0</v>
      </c>
    </row>
    <row r="149" spans="1:22" hidden="1" x14ac:dyDescent="0.25">
      <c r="A149" s="167"/>
      <c r="B149" s="168"/>
      <c r="C149" s="169"/>
      <c r="D149" s="169"/>
      <c r="E149" s="174"/>
      <c r="F149" s="58" t="str">
        <f>IF($N$125="","",IF($N$125="INDUSTRIAL",IF(OR($D$123="",$D$129=""),"",IF(OR(D149&gt;$D$130,E149&gt;$D$131),"Rev. Total. abona.",IF(D149="",IF(E149="","",E149/(0.92*1000)),IF(OR($D$123="SAN CRISTOBAL",$D$123="FLOREANA"),VLOOKUP(D149,'Estratos SCY - FLO'!$A$4:$M$108,IF($D$129="A1",2,IF($D$129="A",5,IF($D$129="B",8,11))))+E149/(0.92*1000),VLOOKUP(D149,'Estratos SCX - ISA'!$A$3:$M$107,IF($D$129="A1",2,IF($D$129="A",5,IF($D$129="B",8,11))))+E149/(0.92*1000))))),IF(OR($D$123="",$D$129=""),"",IF(OR(D149&gt;$D$130,E149&gt;$D$131),"Rev. Total. abona.",IF(D149="",IF(E149="","",E149/(0.92*1000)),IF(OR($D$123="SAN CRISTOBAL",$D$123="FLOREANA"),VLOOKUP(D149,'Estratos SCY - FLO'!$O$4:$S$108,IF($D$129="A1",2,IF($D$129="A",3,IF($D$129="B",4,5))))+E149/(0.92*1000),VLOOKUP(D149,'Estratos SCX - ISA'!$O$4:$S$108,IF($D$129="A1",2,IF($D$129="A",3,IF($D$129="B",4,5))))+E149/(0.92*1000)))))))</f>
        <v/>
      </c>
      <c r="G149" s="59" t="str">
        <f t="shared" si="19"/>
        <v/>
      </c>
      <c r="H149" s="183"/>
      <c r="I149" s="183"/>
      <c r="J149" s="59" t="str">
        <f>IF(OR(H149="",$D$10="",$N$10=""),"",IF($D$10="COBRE",VLOOKUP(CDV_PROY_BT!H149,FDV!$B$16:$E$24,IF(CDV_PROY_BT!$N$10="3F",3,4),FALSE),IF($D$10="ACS",VLOOKUP(CDV_PROY_BT!H149,FDV!$B$10:$E$15,IF(CDV_PROY_BT!$N$10="3F",3,4),FALSE),IF($D$10="5005 (PREENSAMBLADO)",VLOOKUP(CDV_PROY_BT!H149,FDV!$B$4:$E$9,IF(CDV_PROY_BT!$N$10="3F",3,4),FALSE),VLOOKUP(CDV_PROY_BT!H149,FDV!$B$25:$E$30,IF(CDV_PROY_BT!$N$10="3F",3,4),FALSE)))))</f>
        <v/>
      </c>
      <c r="K149" s="63" t="str">
        <f t="shared" si="18"/>
        <v/>
      </c>
      <c r="L149" s="62" t="str">
        <f t="shared" si="20"/>
        <v/>
      </c>
      <c r="M149" s="62" t="str">
        <f t="shared" si="21"/>
        <v/>
      </c>
      <c r="N149" s="155"/>
      <c r="U149" s="138">
        <f t="shared" si="22"/>
        <v>0</v>
      </c>
      <c r="V149" s="138">
        <f t="shared" si="23"/>
        <v>0</v>
      </c>
    </row>
    <row r="150" spans="1:22" hidden="1" x14ac:dyDescent="0.25">
      <c r="A150" s="175"/>
      <c r="B150" s="176"/>
      <c r="C150" s="177"/>
      <c r="D150" s="177"/>
      <c r="E150" s="170"/>
      <c r="F150" s="58" t="str">
        <f>IF($N$125="","",IF($N$125="INDUSTRIAL",IF(OR($D$123="",$D$129=""),"",IF(OR(D150&gt;$D$130,E150&gt;$D$131),"Rev. Total. abona.",IF(D150="",IF(E150="","",E150/(0.92*1000)),IF(OR($D$123="SAN CRISTOBAL",$D$123="FLOREANA"),VLOOKUP(D150,'Estratos SCY - FLO'!$A$4:$M$108,IF($D$129="A1",2,IF($D$129="A",5,IF($D$129="B",8,11))))+E150/(0.92*1000),VLOOKUP(D150,'Estratos SCX - ISA'!$A$3:$M$107,IF($D$129="A1",2,IF($D$129="A",5,IF($D$129="B",8,11))))+E150/(0.92*1000))))),IF(OR($D$123="",$D$129=""),"",IF(OR(D150&gt;$D$130,E150&gt;$D$131),"Rev. Total. abona.",IF(D150="",IF(E150="","",E150/(0.92*1000)),IF(OR($D$123="SAN CRISTOBAL",$D$123="FLOREANA"),VLOOKUP(D150,'Estratos SCY - FLO'!$O$4:$S$108,IF($D$129="A1",2,IF($D$129="A",3,IF($D$129="B",4,5))))+E150/(0.92*1000),VLOOKUP(D150,'Estratos SCX - ISA'!$O$4:$S$108,IF($D$129="A1",2,IF($D$129="A",3,IF($D$129="B",4,5))))+E150/(0.92*1000)))))))</f>
        <v/>
      </c>
      <c r="G150" s="59" t="str">
        <f t="shared" si="19"/>
        <v/>
      </c>
      <c r="H150" s="183"/>
      <c r="I150" s="183"/>
      <c r="J150" s="59" t="str">
        <f>IF(OR(H150="",$D$10="",$N$10=""),"",IF($D$10="COBRE",VLOOKUP(CDV_PROY_BT!H150,FDV!$B$16:$E$24,IF(CDV_PROY_BT!$N$10="3F",3,4),FALSE),IF($D$10="ACS",VLOOKUP(CDV_PROY_BT!H150,FDV!$B$10:$E$15,IF(CDV_PROY_BT!$N$10="3F",3,4),FALSE),IF($D$10="5005 (PREENSAMBLADO)",VLOOKUP(CDV_PROY_BT!H150,FDV!$B$4:$E$9,IF(CDV_PROY_BT!$N$10="3F",3,4),FALSE),VLOOKUP(CDV_PROY_BT!H150,FDV!$B$25:$E$30,IF(CDV_PROY_BT!$N$10="3F",3,4),FALSE)))))</f>
        <v/>
      </c>
      <c r="K150" s="63" t="str">
        <f t="shared" si="18"/>
        <v/>
      </c>
      <c r="L150" s="62" t="str">
        <f t="shared" si="20"/>
        <v/>
      </c>
      <c r="M150" s="62" t="str">
        <f t="shared" si="21"/>
        <v/>
      </c>
      <c r="N150" s="155"/>
      <c r="U150" s="138">
        <f t="shared" si="22"/>
        <v>0</v>
      </c>
      <c r="V150" s="138">
        <f t="shared" si="23"/>
        <v>0</v>
      </c>
    </row>
    <row r="151" spans="1:22" hidden="1" x14ac:dyDescent="0.25">
      <c r="A151" s="167"/>
      <c r="B151" s="168"/>
      <c r="C151" s="169"/>
      <c r="D151" s="169"/>
      <c r="E151" s="170"/>
      <c r="F151" s="58" t="str">
        <f>IF($N$125="","",IF($N$125="INDUSTRIAL",IF(OR($D$123="",$D$129=""),"",IF(OR(D151&gt;$D$130,E151&gt;$D$131),"Rev. Total. abona.",IF(D151="",IF(E151="","",E151/(0.92*1000)),IF(OR($D$123="SAN CRISTOBAL",$D$123="FLOREANA"),VLOOKUP(D151,'Estratos SCY - FLO'!$A$4:$M$108,IF($D$129="A1",2,IF($D$129="A",5,IF($D$129="B",8,11))))+E151/(0.92*1000),VLOOKUP(D151,'Estratos SCX - ISA'!$A$3:$M$107,IF($D$129="A1",2,IF($D$129="A",5,IF($D$129="B",8,11))))+E151/(0.92*1000))))),IF(OR($D$123="",$D$129=""),"",IF(OR(D151&gt;$D$130,E151&gt;$D$131),"Rev. Total. abona.",IF(D151="",IF(E151="","",E151/(0.92*1000)),IF(OR($D$123="SAN CRISTOBAL",$D$123="FLOREANA"),VLOOKUP(D151,'Estratos SCY - FLO'!$O$4:$S$108,IF($D$129="A1",2,IF($D$129="A",3,IF($D$129="B",4,5))))+E151/(0.92*1000),VLOOKUP(D151,'Estratos SCX - ISA'!$O$4:$S$108,IF($D$129="A1",2,IF($D$129="A",3,IF($D$129="B",4,5))))+E151/(0.92*1000)))))))</f>
        <v/>
      </c>
      <c r="G151" s="59" t="str">
        <f t="shared" si="19"/>
        <v/>
      </c>
      <c r="H151" s="183"/>
      <c r="I151" s="183"/>
      <c r="J151" s="59" t="str">
        <f>IF(OR(H151="",$D$10="",$N$10=""),"",IF($D$10="COBRE",VLOOKUP(CDV_PROY_BT!H151,FDV!$B$16:$E$24,IF(CDV_PROY_BT!$N$10="3F",3,4),FALSE),IF($D$10="ACS",VLOOKUP(CDV_PROY_BT!H151,FDV!$B$10:$E$15,IF(CDV_PROY_BT!$N$10="3F",3,4),FALSE),IF($D$10="5005 (PREENSAMBLADO)",VLOOKUP(CDV_PROY_BT!H151,FDV!$B$4:$E$9,IF(CDV_PROY_BT!$N$10="3F",3,4),FALSE),VLOOKUP(CDV_PROY_BT!H151,FDV!$B$25:$E$30,IF(CDV_PROY_BT!$N$10="3F",3,4),FALSE)))))</f>
        <v/>
      </c>
      <c r="K151" s="63" t="str">
        <f t="shared" si="18"/>
        <v/>
      </c>
      <c r="L151" s="62" t="str">
        <f t="shared" si="20"/>
        <v/>
      </c>
      <c r="M151" s="62" t="str">
        <f t="shared" si="21"/>
        <v/>
      </c>
      <c r="N151" s="155"/>
      <c r="U151" s="138">
        <f t="shared" si="22"/>
        <v>0</v>
      </c>
      <c r="V151" s="138">
        <f t="shared" si="23"/>
        <v>0</v>
      </c>
    </row>
    <row r="152" spans="1:22" hidden="1" x14ac:dyDescent="0.25">
      <c r="A152" s="167"/>
      <c r="B152" s="168"/>
      <c r="C152" s="169"/>
      <c r="D152" s="169"/>
      <c r="E152" s="170"/>
      <c r="F152" s="58" t="str">
        <f>IF($N$125="","",IF($N$125="INDUSTRIAL",IF(OR($D$123="",$D$129=""),"",IF(OR(D152&gt;$D$130,E152&gt;$D$131),"Rev. Total. abona.",IF(D152="",IF(E152="","",E152/(0.92*1000)),IF(OR($D$123="SAN CRISTOBAL",$D$123="FLOREANA"),VLOOKUP(D152,'Estratos SCY - FLO'!$A$4:$M$108,IF($D$129="A1",2,IF($D$129="A",5,IF($D$129="B",8,11))))+E152/(0.92*1000),VLOOKUP(D152,'Estratos SCX - ISA'!$A$3:$M$107,IF($D$129="A1",2,IF($D$129="A",5,IF($D$129="B",8,11))))+E152/(0.92*1000))))),IF(OR($D$123="",$D$129=""),"",IF(OR(D152&gt;$D$130,E152&gt;$D$131),"Rev. Total. abona.",IF(D152="",IF(E152="","",E152/(0.92*1000)),IF(OR($D$123="SAN CRISTOBAL",$D$123="FLOREANA"),VLOOKUP(D152,'Estratos SCY - FLO'!$O$4:$S$108,IF($D$129="A1",2,IF($D$129="A",3,IF($D$129="B",4,5))))+E152/(0.92*1000),VLOOKUP(D152,'Estratos SCX - ISA'!$O$4:$S$108,IF($D$129="A1",2,IF($D$129="A",3,IF($D$129="B",4,5))))+E152/(0.92*1000)))))))</f>
        <v/>
      </c>
      <c r="G152" s="59" t="str">
        <f t="shared" si="19"/>
        <v/>
      </c>
      <c r="H152" s="183"/>
      <c r="I152" s="183"/>
      <c r="J152" s="59" t="str">
        <f>IF(OR(H152="",$D$10="",$N$10=""),"",IF($D$10="COBRE",VLOOKUP(CDV_PROY_BT!H152,FDV!$B$16:$E$24,IF(CDV_PROY_BT!$N$10="3F",3,4),FALSE),IF($D$10="ACS",VLOOKUP(CDV_PROY_BT!H152,FDV!$B$10:$E$15,IF(CDV_PROY_BT!$N$10="3F",3,4),FALSE),IF($D$10="5005 (PREENSAMBLADO)",VLOOKUP(CDV_PROY_BT!H152,FDV!$B$4:$E$9,IF(CDV_PROY_BT!$N$10="3F",3,4),FALSE),VLOOKUP(CDV_PROY_BT!H152,FDV!$B$25:$E$30,IF(CDV_PROY_BT!$N$10="3F",3,4),FALSE)))))</f>
        <v/>
      </c>
      <c r="K152" s="63" t="str">
        <f t="shared" si="18"/>
        <v/>
      </c>
      <c r="L152" s="62" t="str">
        <f t="shared" si="20"/>
        <v/>
      </c>
      <c r="M152" s="62" t="str">
        <f t="shared" si="21"/>
        <v/>
      </c>
      <c r="N152" s="155"/>
      <c r="U152" s="138">
        <f t="shared" si="22"/>
        <v>0</v>
      </c>
      <c r="V152" s="138">
        <f t="shared" si="23"/>
        <v>0</v>
      </c>
    </row>
    <row r="153" spans="1:22" hidden="1" x14ac:dyDescent="0.25">
      <c r="A153" s="167"/>
      <c r="B153" s="168"/>
      <c r="C153" s="169"/>
      <c r="D153" s="169"/>
      <c r="E153" s="170"/>
      <c r="F153" s="58" t="str">
        <f>IF($N$125="","",IF($N$125="INDUSTRIAL",IF(OR($D$123="",$D$129=""),"",IF(OR(D153&gt;$D$130,E153&gt;$D$131),"Rev. Total. abona.",IF(D153="",IF(E153="","",E153/(0.92*1000)),IF(OR($D$123="SAN CRISTOBAL",$D$123="FLOREANA"),VLOOKUP(D153,'Estratos SCY - FLO'!$A$4:$M$108,IF($D$129="A1",2,IF($D$129="A",5,IF($D$129="B",8,11))))+E153/(0.92*1000),VLOOKUP(D153,'Estratos SCX - ISA'!$A$3:$M$107,IF($D$129="A1",2,IF($D$129="A",5,IF($D$129="B",8,11))))+E153/(0.92*1000))))),IF(OR($D$123="",$D$129=""),"",IF(OR(D153&gt;$D$130,E153&gt;$D$131),"Rev. Total. abona.",IF(D153="",IF(E153="","",E153/(0.92*1000)),IF(OR($D$123="SAN CRISTOBAL",$D$123="FLOREANA"),VLOOKUP(D153,'Estratos SCY - FLO'!$O$4:$S$108,IF($D$129="A1",2,IF($D$129="A",3,IF($D$129="B",4,5))))+E153/(0.92*1000),VLOOKUP(D153,'Estratos SCX - ISA'!$O$4:$S$108,IF($D$129="A1",2,IF($D$129="A",3,IF($D$129="B",4,5))))+E153/(0.92*1000)))))))</f>
        <v/>
      </c>
      <c r="G153" s="59" t="str">
        <f t="shared" si="19"/>
        <v/>
      </c>
      <c r="H153" s="183"/>
      <c r="I153" s="183"/>
      <c r="J153" s="59" t="str">
        <f>IF(OR(H153="",$D$10="",$N$10=""),"",IF($D$10="COBRE",VLOOKUP(CDV_PROY_BT!H153,FDV!$B$16:$E$24,IF(CDV_PROY_BT!$N$10="3F",3,4),FALSE),IF($D$10="ACS",VLOOKUP(CDV_PROY_BT!H153,FDV!$B$10:$E$15,IF(CDV_PROY_BT!$N$10="3F",3,4),FALSE),IF($D$10="5005 (PREENSAMBLADO)",VLOOKUP(CDV_PROY_BT!H153,FDV!$B$4:$E$9,IF(CDV_PROY_BT!$N$10="3F",3,4),FALSE),VLOOKUP(CDV_PROY_BT!H153,FDV!$B$25:$E$30,IF(CDV_PROY_BT!$N$10="3F",3,4),FALSE)))))</f>
        <v/>
      </c>
      <c r="K153" s="63" t="str">
        <f t="shared" si="18"/>
        <v/>
      </c>
      <c r="L153" s="62" t="str">
        <f t="shared" si="20"/>
        <v/>
      </c>
      <c r="M153" s="62" t="str">
        <f t="shared" si="21"/>
        <v/>
      </c>
      <c r="N153" s="155"/>
      <c r="U153" s="138">
        <f t="shared" si="22"/>
        <v>0</v>
      </c>
      <c r="V153" s="138">
        <f t="shared" si="23"/>
        <v>0</v>
      </c>
    </row>
    <row r="154" spans="1:22" hidden="1" x14ac:dyDescent="0.25">
      <c r="A154" s="167"/>
      <c r="B154" s="168"/>
      <c r="C154" s="169"/>
      <c r="D154" s="169"/>
      <c r="E154" s="170"/>
      <c r="F154" s="58" t="str">
        <f>IF($N$125="","",IF($N$125="INDUSTRIAL",IF(OR($D$123="",$D$129=""),"",IF(OR(D154&gt;$D$130,E154&gt;$D$131),"Rev. Total. abona.",IF(D154="",IF(E154="","",E154/(0.92*1000)),IF(OR($D$123="SAN CRISTOBAL",$D$123="FLOREANA"),VLOOKUP(D154,'Estratos SCY - FLO'!$A$4:$M$108,IF($D$129="A1",2,IF($D$129="A",5,IF($D$129="B",8,11))))+E154/(0.92*1000),VLOOKUP(D154,'Estratos SCX - ISA'!$A$3:$M$107,IF($D$129="A1",2,IF($D$129="A",5,IF($D$129="B",8,11))))+E154/(0.92*1000))))),IF(OR($D$123="",$D$129=""),"",IF(OR(D154&gt;$D$130,E154&gt;$D$131),"Rev. Total. abona.",IF(D154="",IF(E154="","",E154/(0.92*1000)),IF(OR($D$123="SAN CRISTOBAL",$D$123="FLOREANA"),VLOOKUP(D154,'Estratos SCY - FLO'!$O$4:$S$108,IF($D$129="A1",2,IF($D$129="A",3,IF($D$129="B",4,5))))+E154/(0.92*1000),VLOOKUP(D154,'Estratos SCX - ISA'!$O$4:$S$108,IF($D$129="A1",2,IF($D$129="A",3,IF($D$129="B",4,5))))+E154/(0.92*1000)))))))</f>
        <v/>
      </c>
      <c r="G154" s="59" t="str">
        <f t="shared" si="19"/>
        <v/>
      </c>
      <c r="H154" s="183"/>
      <c r="I154" s="183"/>
      <c r="J154" s="59" t="str">
        <f>IF(OR(H154="",$D$10="",$N$10=""),"",IF($D$10="COBRE",VLOOKUP(CDV_PROY_BT!H154,FDV!$B$16:$E$24,IF(CDV_PROY_BT!$N$10="3F",3,4),FALSE),IF($D$10="ACS",VLOOKUP(CDV_PROY_BT!H154,FDV!$B$10:$E$15,IF(CDV_PROY_BT!$N$10="3F",3,4),FALSE),IF($D$10="5005 (PREENSAMBLADO)",VLOOKUP(CDV_PROY_BT!H154,FDV!$B$4:$E$9,IF(CDV_PROY_BT!$N$10="3F",3,4),FALSE),VLOOKUP(CDV_PROY_BT!H154,FDV!$B$25:$E$30,IF(CDV_PROY_BT!$N$10="3F",3,4),FALSE)))))</f>
        <v/>
      </c>
      <c r="K154" s="63" t="str">
        <f t="shared" si="18"/>
        <v/>
      </c>
      <c r="L154" s="62" t="str">
        <f t="shared" si="20"/>
        <v/>
      </c>
      <c r="M154" s="62" t="str">
        <f t="shared" si="21"/>
        <v/>
      </c>
      <c r="N154" s="155"/>
      <c r="U154" s="138">
        <f t="shared" si="22"/>
        <v>0</v>
      </c>
      <c r="V154" s="138">
        <f t="shared" si="23"/>
        <v>0</v>
      </c>
    </row>
    <row r="155" spans="1:22" hidden="1" x14ac:dyDescent="0.25">
      <c r="A155" s="167"/>
      <c r="B155" s="168"/>
      <c r="C155" s="169"/>
      <c r="D155" s="169"/>
      <c r="E155" s="170"/>
      <c r="F155" s="58" t="str">
        <f>IF($N$125="","",IF($N$125="INDUSTRIAL",IF(OR($D$123="",$D$129=""),"",IF(OR(D155&gt;$D$130,E155&gt;$D$131),"Rev. Total. abona.",IF(D155="",IF(E155="","",E155/(0.92*1000)),IF(OR($D$123="SAN CRISTOBAL",$D$123="FLOREANA"),VLOOKUP(D155,'Estratos SCY - FLO'!$A$4:$M$108,IF($D$129="A1",2,IF($D$129="A",5,IF($D$129="B",8,11))))+E155/(0.92*1000),VLOOKUP(D155,'Estratos SCX - ISA'!$A$3:$M$107,IF($D$129="A1",2,IF($D$129="A",5,IF($D$129="B",8,11))))+E155/(0.92*1000))))),IF(OR($D$123="",$D$129=""),"",IF(OR(D155&gt;$D$130,E155&gt;$D$131),"Rev. Total. abona.",IF(D155="",IF(E155="","",E155/(0.92*1000)),IF(OR($D$123="SAN CRISTOBAL",$D$123="FLOREANA"),VLOOKUP(D155,'Estratos SCY - FLO'!$O$4:$S$108,IF($D$129="A1",2,IF($D$129="A",3,IF($D$129="B",4,5))))+E155/(0.92*1000),VLOOKUP(D155,'Estratos SCX - ISA'!$O$4:$S$108,IF($D$129="A1",2,IF($D$129="A",3,IF($D$129="B",4,5))))+E155/(0.92*1000)))))))</f>
        <v/>
      </c>
      <c r="G155" s="59" t="str">
        <f t="shared" si="19"/>
        <v/>
      </c>
      <c r="H155" s="183"/>
      <c r="I155" s="183"/>
      <c r="J155" s="59" t="str">
        <f>IF(OR(H155="",$D$10="",$N$10=""),"",IF($D$10="COBRE",VLOOKUP(CDV_PROY_BT!H155,FDV!$B$16:$E$24,IF(CDV_PROY_BT!$N$10="3F",3,4),FALSE),IF($D$10="ACS",VLOOKUP(CDV_PROY_BT!H155,FDV!$B$10:$E$15,IF(CDV_PROY_BT!$N$10="3F",3,4),FALSE),IF($D$10="5005 (PREENSAMBLADO)",VLOOKUP(CDV_PROY_BT!H155,FDV!$B$4:$E$9,IF(CDV_PROY_BT!$N$10="3F",3,4),FALSE),VLOOKUP(CDV_PROY_BT!H155,FDV!$B$25:$E$30,IF(CDV_PROY_BT!$N$10="3F",3,4),FALSE)))))</f>
        <v/>
      </c>
      <c r="K155" s="63" t="str">
        <f t="shared" si="18"/>
        <v/>
      </c>
      <c r="L155" s="62" t="str">
        <f t="shared" si="20"/>
        <v/>
      </c>
      <c r="M155" s="62" t="str">
        <f t="shared" si="21"/>
        <v/>
      </c>
      <c r="N155" s="155"/>
      <c r="U155" s="138">
        <f t="shared" si="22"/>
        <v>0</v>
      </c>
      <c r="V155" s="138">
        <f t="shared" si="23"/>
        <v>0</v>
      </c>
    </row>
    <row r="156" spans="1:22" hidden="1" x14ac:dyDescent="0.25">
      <c r="A156" s="167"/>
      <c r="B156" s="168"/>
      <c r="C156" s="169"/>
      <c r="D156" s="169"/>
      <c r="E156" s="170"/>
      <c r="F156" s="58" t="str">
        <f>IF($N$125="","",IF($N$125="INDUSTRIAL",IF(OR($D$123="",$D$129=""),"",IF(OR(D156&gt;$D$130,E156&gt;$D$131),"Rev. Total. abona.",IF(D156="",IF(E156="","",E156/(0.92*1000)),IF(OR($D$123="SAN CRISTOBAL",$D$123="FLOREANA"),VLOOKUP(D156,'Estratos SCY - FLO'!$A$4:$M$108,IF($D$129="A1",2,IF($D$129="A",5,IF($D$129="B",8,11))))+E156/(0.92*1000),VLOOKUP(D156,'Estratos SCX - ISA'!$A$3:$M$107,IF($D$129="A1",2,IF($D$129="A",5,IF($D$129="B",8,11))))+E156/(0.92*1000))))),IF(OR($D$123="",$D$129=""),"",IF(OR(D156&gt;$D$130,E156&gt;$D$131),"Rev. Total. abona.",IF(D156="",IF(E156="","",E156/(0.92*1000)),IF(OR($D$123="SAN CRISTOBAL",$D$123="FLOREANA"),VLOOKUP(D156,'Estratos SCY - FLO'!$O$4:$S$108,IF($D$129="A1",2,IF($D$129="A",3,IF($D$129="B",4,5))))+E156/(0.92*1000),VLOOKUP(D156,'Estratos SCX - ISA'!$O$4:$S$108,IF($D$129="A1",2,IF($D$129="A",3,IF($D$129="B",4,5))))+E156/(0.92*1000)))))))</f>
        <v/>
      </c>
      <c r="G156" s="59" t="str">
        <f t="shared" si="19"/>
        <v/>
      </c>
      <c r="H156" s="183"/>
      <c r="I156" s="183"/>
      <c r="J156" s="59" t="str">
        <f>IF(OR(H156="",$D$10="",$N$10=""),"",IF($D$10="COBRE",VLOOKUP(CDV_PROY_BT!H156,FDV!$B$16:$E$24,IF(CDV_PROY_BT!$N$10="3F",3,4),FALSE),IF($D$10="ACS",VLOOKUP(CDV_PROY_BT!H156,FDV!$B$10:$E$15,IF(CDV_PROY_BT!$N$10="3F",3,4),FALSE),IF($D$10="5005 (PREENSAMBLADO)",VLOOKUP(CDV_PROY_BT!H156,FDV!$B$4:$E$9,IF(CDV_PROY_BT!$N$10="3F",3,4),FALSE),VLOOKUP(CDV_PROY_BT!H156,FDV!$B$25:$E$30,IF(CDV_PROY_BT!$N$10="3F",3,4),FALSE)))))</f>
        <v/>
      </c>
      <c r="K156" s="63" t="str">
        <f t="shared" si="18"/>
        <v/>
      </c>
      <c r="L156" s="62" t="str">
        <f t="shared" si="20"/>
        <v/>
      </c>
      <c r="M156" s="62" t="str">
        <f t="shared" si="21"/>
        <v/>
      </c>
      <c r="N156" s="155"/>
      <c r="U156" s="138">
        <f t="shared" si="22"/>
        <v>0</v>
      </c>
      <c r="V156" s="138">
        <f t="shared" si="23"/>
        <v>0</v>
      </c>
    </row>
    <row r="157" spans="1:22" hidden="1" x14ac:dyDescent="0.25">
      <c r="A157" s="167"/>
      <c r="B157" s="168"/>
      <c r="C157" s="169"/>
      <c r="D157" s="169"/>
      <c r="E157" s="170"/>
      <c r="F157" s="58" t="str">
        <f>IF($N$125="","",IF($N$125="INDUSTRIAL",IF(OR($D$123="",$D$129=""),"",IF(OR(D157&gt;$D$130,E157&gt;$D$131),"Rev. Total. abona.",IF(D157="",IF(E157="","",E157/(0.92*1000)),IF(OR($D$123="SAN CRISTOBAL",$D$123="FLOREANA"),VLOOKUP(D157,'Estratos SCY - FLO'!$A$4:$M$108,IF($D$129="A1",2,IF($D$129="A",5,IF($D$129="B",8,11))))+E157/(0.92*1000),VLOOKUP(D157,'Estratos SCX - ISA'!$A$3:$M$107,IF($D$129="A1",2,IF($D$129="A",5,IF($D$129="B",8,11))))+E157/(0.92*1000))))),IF(OR($D$123="",$D$129=""),"",IF(OR(D157&gt;$D$130,E157&gt;$D$131),"Rev. Total. abona.",IF(D157="",IF(E157="","",E157/(0.92*1000)),IF(OR($D$123="SAN CRISTOBAL",$D$123="FLOREANA"),VLOOKUP(D157,'Estratos SCY - FLO'!$O$4:$S$108,IF($D$129="A1",2,IF($D$129="A",3,IF($D$129="B",4,5))))+E157/(0.92*1000),VLOOKUP(D157,'Estratos SCX - ISA'!$O$4:$S$108,IF($D$129="A1",2,IF($D$129="A",3,IF($D$129="B",4,5))))+E157/(0.92*1000)))))))</f>
        <v/>
      </c>
      <c r="G157" s="59" t="str">
        <f t="shared" si="19"/>
        <v/>
      </c>
      <c r="H157" s="183"/>
      <c r="I157" s="183"/>
      <c r="J157" s="59" t="str">
        <f>IF(OR(H157="",$D$10="",$N$10=""),"",IF($D$10="COBRE",VLOOKUP(CDV_PROY_BT!H157,FDV!$B$16:$E$24,IF(CDV_PROY_BT!$N$10="3F",3,4),FALSE),IF($D$10="ACS",VLOOKUP(CDV_PROY_BT!H157,FDV!$B$10:$E$15,IF(CDV_PROY_BT!$N$10="3F",3,4),FALSE),IF($D$10="5005 (PREENSAMBLADO)",VLOOKUP(CDV_PROY_BT!H157,FDV!$B$4:$E$9,IF(CDV_PROY_BT!$N$10="3F",3,4),FALSE),VLOOKUP(CDV_PROY_BT!H157,FDV!$B$25:$E$30,IF(CDV_PROY_BT!$N$10="3F",3,4),FALSE)))))</f>
        <v/>
      </c>
      <c r="K157" s="63" t="str">
        <f t="shared" si="18"/>
        <v/>
      </c>
      <c r="L157" s="62" t="str">
        <f t="shared" si="20"/>
        <v/>
      </c>
      <c r="M157" s="62" t="str">
        <f t="shared" si="21"/>
        <v/>
      </c>
      <c r="N157" s="155"/>
      <c r="U157" s="138">
        <f t="shared" si="22"/>
        <v>0</v>
      </c>
      <c r="V157" s="138">
        <f t="shared" si="23"/>
        <v>0</v>
      </c>
    </row>
    <row r="158" spans="1:22" hidden="1" x14ac:dyDescent="0.25">
      <c r="A158" s="167"/>
      <c r="B158" s="168"/>
      <c r="C158" s="169"/>
      <c r="D158" s="169"/>
      <c r="E158" s="170"/>
      <c r="F158" s="58" t="str">
        <f>IF($N$125="","",IF($N$125="INDUSTRIAL",IF(OR($D$123="",$D$129=""),"",IF(OR(D158&gt;$D$130,E158&gt;$D$131),"Rev. Total. abona.",IF(D158="",IF(E158="","",E158/(0.92*1000)),IF(OR($D$123="SAN CRISTOBAL",$D$123="FLOREANA"),VLOOKUP(D158,'Estratos SCY - FLO'!$A$4:$M$108,IF($D$129="A1",2,IF($D$129="A",5,IF($D$129="B",8,11))))+E158/(0.92*1000),VLOOKUP(D158,'Estratos SCX - ISA'!$A$3:$M$107,IF($D$129="A1",2,IF($D$129="A",5,IF($D$129="B",8,11))))+E158/(0.92*1000))))),IF(OR($D$123="",$D$129=""),"",IF(OR(D158&gt;$D$130,E158&gt;$D$131),"Rev. Total. abona.",IF(D158="",IF(E158="","",E158/(0.92*1000)),IF(OR($D$123="SAN CRISTOBAL",$D$123="FLOREANA"),VLOOKUP(D158,'Estratos SCY - FLO'!$O$4:$S$108,IF($D$129="A1",2,IF($D$129="A",3,IF($D$129="B",4,5))))+E158/(0.92*1000),VLOOKUP(D158,'Estratos SCX - ISA'!$O$4:$S$108,IF($D$129="A1",2,IF($D$129="A",3,IF($D$129="B",4,5))))+E158/(0.92*1000)))))))</f>
        <v/>
      </c>
      <c r="G158" s="59" t="str">
        <f t="shared" si="19"/>
        <v/>
      </c>
      <c r="H158" s="183"/>
      <c r="I158" s="183"/>
      <c r="J158" s="59" t="str">
        <f>IF(OR(H158="",$D$10="",$N$10=""),"",IF($D$10="COBRE",VLOOKUP(CDV_PROY_BT!H158,FDV!$B$16:$E$24,IF(CDV_PROY_BT!$N$10="3F",3,4),FALSE),IF($D$10="ACS",VLOOKUP(CDV_PROY_BT!H158,FDV!$B$10:$E$15,IF(CDV_PROY_BT!$N$10="3F",3,4),FALSE),IF($D$10="5005 (PREENSAMBLADO)",VLOOKUP(CDV_PROY_BT!H158,FDV!$B$4:$E$9,IF(CDV_PROY_BT!$N$10="3F",3,4),FALSE),VLOOKUP(CDV_PROY_BT!H158,FDV!$B$25:$E$30,IF(CDV_PROY_BT!$N$10="3F",3,4),FALSE)))))</f>
        <v/>
      </c>
      <c r="K158" s="63" t="str">
        <f t="shared" si="18"/>
        <v/>
      </c>
      <c r="L158" s="62" t="str">
        <f t="shared" si="20"/>
        <v/>
      </c>
      <c r="M158" s="62" t="str">
        <f t="shared" si="21"/>
        <v/>
      </c>
      <c r="N158" s="155"/>
      <c r="U158" s="138">
        <f t="shared" si="22"/>
        <v>0</v>
      </c>
      <c r="V158" s="138">
        <f t="shared" si="23"/>
        <v>0</v>
      </c>
    </row>
    <row r="159" spans="1:22" hidden="1" x14ac:dyDescent="0.25">
      <c r="A159" s="167"/>
      <c r="B159" s="168"/>
      <c r="C159" s="169"/>
      <c r="D159" s="169"/>
      <c r="E159" s="170"/>
      <c r="F159" s="58" t="str">
        <f>IF($N$125="","",IF($N$125="INDUSTRIAL",IF(OR($D$123="",$D$129=""),"",IF(OR(D159&gt;$D$130,E159&gt;$D$131),"Rev. Total. abona.",IF(D159="",IF(E159="","",E159/(0.92*1000)),IF(OR($D$123="SAN CRISTOBAL",$D$123="FLOREANA"),VLOOKUP(D159,'Estratos SCY - FLO'!$A$4:$M$108,IF($D$129="A1",2,IF($D$129="A",5,IF($D$129="B",8,11))))+E159/(0.92*1000),VLOOKUP(D159,'Estratos SCX - ISA'!$A$3:$M$107,IF($D$129="A1",2,IF($D$129="A",5,IF($D$129="B",8,11))))+E159/(0.92*1000))))),IF(OR($D$123="",$D$129=""),"",IF(OR(D159&gt;$D$130,E159&gt;$D$131),"Rev. Total. abona.",IF(D159="",IF(E159="","",E159/(0.92*1000)),IF(OR($D$123="SAN CRISTOBAL",$D$123="FLOREANA"),VLOOKUP(D159,'Estratos SCY - FLO'!$O$4:$S$108,IF($D$129="A1",2,IF($D$129="A",3,IF($D$129="B",4,5))))+E159/(0.92*1000),VLOOKUP(D159,'Estratos SCX - ISA'!$O$4:$S$108,IF($D$129="A1",2,IF($D$129="A",3,IF($D$129="B",4,5))))+E159/(0.92*1000)))))))</f>
        <v/>
      </c>
      <c r="G159" s="59" t="str">
        <f t="shared" si="19"/>
        <v/>
      </c>
      <c r="H159" s="183"/>
      <c r="I159" s="183"/>
      <c r="J159" s="59" t="str">
        <f>IF(OR(H159="",$D$10="",$N$10=""),"",IF($D$10="COBRE",VLOOKUP(CDV_PROY_BT!H159,FDV!$B$16:$E$24,IF(CDV_PROY_BT!$N$10="3F",3,4),FALSE),IF($D$10="ACS",VLOOKUP(CDV_PROY_BT!H159,FDV!$B$10:$E$15,IF(CDV_PROY_BT!$N$10="3F",3,4),FALSE),IF($D$10="5005 (PREENSAMBLADO)",VLOOKUP(CDV_PROY_BT!H159,FDV!$B$4:$E$9,IF(CDV_PROY_BT!$N$10="3F",3,4),FALSE),VLOOKUP(CDV_PROY_BT!H159,FDV!$B$25:$E$30,IF(CDV_PROY_BT!$N$10="3F",3,4),FALSE)))))</f>
        <v/>
      </c>
      <c r="K159" s="63" t="str">
        <f t="shared" si="18"/>
        <v/>
      </c>
      <c r="L159" s="62" t="str">
        <f t="shared" si="20"/>
        <v/>
      </c>
      <c r="M159" s="62" t="str">
        <f t="shared" si="21"/>
        <v/>
      </c>
      <c r="N159" s="155"/>
      <c r="U159" s="138">
        <f t="shared" si="22"/>
        <v>0</v>
      </c>
      <c r="V159" s="138">
        <f t="shared" si="23"/>
        <v>0</v>
      </c>
    </row>
    <row r="160" spans="1:22" hidden="1" x14ac:dyDescent="0.25">
      <c r="A160" s="167"/>
      <c r="B160" s="168"/>
      <c r="C160" s="169"/>
      <c r="D160" s="169"/>
      <c r="E160" s="170"/>
      <c r="F160" s="58" t="str">
        <f>IF($N$125="","",IF($N$125="INDUSTRIAL",IF(OR($D$123="",$D$129=""),"",IF(OR(D160&gt;$D$130,E160&gt;$D$131),"Rev. Total. abona.",IF(D160="",IF(E160="","",E160/(0.92*1000)),IF(OR($D$123="SAN CRISTOBAL",$D$123="FLOREANA"),VLOOKUP(D160,'Estratos SCY - FLO'!$A$4:$M$108,IF($D$129="A1",2,IF($D$129="A",5,IF($D$129="B",8,11))))+E160/(0.92*1000),VLOOKUP(D160,'Estratos SCX - ISA'!$A$3:$M$107,IF($D$129="A1",2,IF($D$129="A",5,IF($D$129="B",8,11))))+E160/(0.92*1000))))),IF(OR($D$123="",$D$129=""),"",IF(OR(D160&gt;$D$130,E160&gt;$D$131),"Rev. Total. abona.",IF(D160="",IF(E160="","",E160/(0.92*1000)),IF(OR($D$123="SAN CRISTOBAL",$D$123="FLOREANA"),VLOOKUP(D160,'Estratos SCY - FLO'!$O$4:$S$108,IF($D$129="A1",2,IF($D$129="A",3,IF($D$129="B",4,5))))+E160/(0.92*1000),VLOOKUP(D160,'Estratos SCX - ISA'!$O$4:$S$108,IF($D$129="A1",2,IF($D$129="A",3,IF($D$129="B",4,5))))+E160/(0.92*1000)))))))</f>
        <v/>
      </c>
      <c r="G160" s="59" t="str">
        <f t="shared" si="19"/>
        <v/>
      </c>
      <c r="H160" s="183"/>
      <c r="I160" s="183"/>
      <c r="J160" s="59" t="str">
        <f>IF(OR(H160="",$D$10="",$N$10=""),"",IF($D$10="COBRE",VLOOKUP(CDV_PROY_BT!H160,FDV!$B$16:$E$24,IF(CDV_PROY_BT!$N$10="3F",3,4),FALSE),IF($D$10="ACS",VLOOKUP(CDV_PROY_BT!H160,FDV!$B$10:$E$15,IF(CDV_PROY_BT!$N$10="3F",3,4),FALSE),IF($D$10="5005 (PREENSAMBLADO)",VLOOKUP(CDV_PROY_BT!H160,FDV!$B$4:$E$9,IF(CDV_PROY_BT!$N$10="3F",3,4),FALSE),VLOOKUP(CDV_PROY_BT!H160,FDV!$B$25:$E$30,IF(CDV_PROY_BT!$N$10="3F",3,4),FALSE)))))</f>
        <v/>
      </c>
      <c r="K160" s="63" t="str">
        <f t="shared" si="18"/>
        <v/>
      </c>
      <c r="L160" s="62" t="str">
        <f t="shared" si="20"/>
        <v/>
      </c>
      <c r="M160" s="62" t="str">
        <f t="shared" si="21"/>
        <v/>
      </c>
      <c r="N160" s="155"/>
      <c r="U160" s="138">
        <f t="shared" si="22"/>
        <v>0</v>
      </c>
      <c r="V160" s="138">
        <f t="shared" si="23"/>
        <v>0</v>
      </c>
    </row>
    <row r="161" spans="1:22" hidden="1" x14ac:dyDescent="0.25">
      <c r="A161" s="167"/>
      <c r="B161" s="168"/>
      <c r="C161" s="169"/>
      <c r="D161" s="169"/>
      <c r="E161" s="170"/>
      <c r="F161" s="58" t="str">
        <f>IF($N$125="","",IF($N$125="INDUSTRIAL",IF(OR($D$123="",$D$129=""),"",IF(OR(D161&gt;$D$130,E161&gt;$D$131),"Rev. Total. abona.",IF(D161="",IF(E161="","",E161/(0.92*1000)),IF(OR($D$123="SAN CRISTOBAL",$D$123="FLOREANA"),VLOOKUP(D161,'Estratos SCY - FLO'!$A$4:$M$108,IF($D$129="A1",2,IF($D$129="A",5,IF($D$129="B",8,11))))+E161/(0.92*1000),VLOOKUP(D161,'Estratos SCX - ISA'!$A$3:$M$107,IF($D$129="A1",2,IF($D$129="A",5,IF($D$129="B",8,11))))+E161/(0.92*1000))))),IF(OR($D$123="",$D$129=""),"",IF(OR(D161&gt;$D$130,E161&gt;$D$131),"Rev. Total. abona.",IF(D161="",IF(E161="","",E161/(0.92*1000)),IF(OR($D$123="SAN CRISTOBAL",$D$123="FLOREANA"),VLOOKUP(D161,'Estratos SCY - FLO'!$O$4:$S$108,IF($D$129="A1",2,IF($D$129="A",3,IF($D$129="B",4,5))))+E161/(0.92*1000),VLOOKUP(D161,'Estratos SCX - ISA'!$O$4:$S$108,IF($D$129="A1",2,IF($D$129="A",3,IF($D$129="B",4,5))))+E161/(0.92*1000)))))))</f>
        <v/>
      </c>
      <c r="G161" s="59" t="str">
        <f t="shared" si="19"/>
        <v/>
      </c>
      <c r="H161" s="183"/>
      <c r="I161" s="183"/>
      <c r="J161" s="59" t="str">
        <f>IF(OR(H161="",$D$10="",$N$10=""),"",IF($D$10="COBRE",VLOOKUP(CDV_PROY_BT!H161,FDV!$B$16:$E$24,IF(CDV_PROY_BT!$N$10="3F",3,4),FALSE),IF($D$10="ACS",VLOOKUP(CDV_PROY_BT!H161,FDV!$B$10:$E$15,IF(CDV_PROY_BT!$N$10="3F",3,4),FALSE),IF($D$10="5005 (PREENSAMBLADO)",VLOOKUP(CDV_PROY_BT!H161,FDV!$B$4:$E$9,IF(CDV_PROY_BT!$N$10="3F",3,4),FALSE),VLOOKUP(CDV_PROY_BT!H161,FDV!$B$25:$E$30,IF(CDV_PROY_BT!$N$10="3F",3,4),FALSE)))))</f>
        <v/>
      </c>
      <c r="K161" s="63" t="str">
        <f t="shared" si="18"/>
        <v/>
      </c>
      <c r="L161" s="62" t="str">
        <f t="shared" si="20"/>
        <v/>
      </c>
      <c r="M161" s="62" t="str">
        <f t="shared" si="21"/>
        <v/>
      </c>
      <c r="N161" s="155"/>
      <c r="U161" s="138">
        <f t="shared" si="22"/>
        <v>0</v>
      </c>
      <c r="V161" s="138">
        <f t="shared" si="23"/>
        <v>0</v>
      </c>
    </row>
    <row r="162" spans="1:22" hidden="1" x14ac:dyDescent="0.25">
      <c r="A162" s="167"/>
      <c r="B162" s="168"/>
      <c r="C162" s="169"/>
      <c r="D162" s="169"/>
      <c r="E162" s="170"/>
      <c r="F162" s="58" t="str">
        <f>IF($N$125="","",IF($N$125="INDUSTRIAL",IF(OR($D$123="",$D$129=""),"",IF(OR(D162&gt;$D$130,E162&gt;$D$131),"Rev. Total. abona.",IF(D162="",IF(E162="","",E162/(0.92*1000)),IF(OR($D$123="SAN CRISTOBAL",$D$123="FLOREANA"),VLOOKUP(D162,'Estratos SCY - FLO'!$A$4:$M$108,IF($D$129="A1",2,IF($D$129="A",5,IF($D$129="B",8,11))))+E162/(0.92*1000),VLOOKUP(D162,'Estratos SCX - ISA'!$A$3:$M$107,IF($D$129="A1",2,IF($D$129="A",5,IF($D$129="B",8,11))))+E162/(0.92*1000))))),IF(OR($D$123="",$D$129=""),"",IF(OR(D162&gt;$D$130,E162&gt;$D$131),"Rev. Total. abona.",IF(D162="",IF(E162="","",E162/(0.92*1000)),IF(OR($D$123="SAN CRISTOBAL",$D$123="FLOREANA"),VLOOKUP(D162,'Estratos SCY - FLO'!$O$4:$S$108,IF($D$129="A1",2,IF($D$129="A",3,IF($D$129="B",4,5))))+E162/(0.92*1000),VLOOKUP(D162,'Estratos SCX - ISA'!$O$4:$S$108,IF($D$129="A1",2,IF($D$129="A",3,IF($D$129="B",4,5))))+E162/(0.92*1000)))))))</f>
        <v/>
      </c>
      <c r="G162" s="59" t="str">
        <f t="shared" si="19"/>
        <v/>
      </c>
      <c r="H162" s="183"/>
      <c r="I162" s="183"/>
      <c r="J162" s="59" t="str">
        <f>IF(OR(H162="",$D$10="",$N$10=""),"",IF($D$10="COBRE",VLOOKUP(CDV_PROY_BT!H162,FDV!$B$16:$E$24,IF(CDV_PROY_BT!$N$10="3F",3,4),FALSE),IF($D$10="ACS",VLOOKUP(CDV_PROY_BT!H162,FDV!$B$10:$E$15,IF(CDV_PROY_BT!$N$10="3F",3,4),FALSE),IF($D$10="5005 (PREENSAMBLADO)",VLOOKUP(CDV_PROY_BT!H162,FDV!$B$4:$E$9,IF(CDV_PROY_BT!$N$10="3F",3,4),FALSE),VLOOKUP(CDV_PROY_BT!H162,FDV!$B$25:$E$30,IF(CDV_PROY_BT!$N$10="3F",3,4),FALSE)))))</f>
        <v/>
      </c>
      <c r="K162" s="63" t="str">
        <f t="shared" si="18"/>
        <v/>
      </c>
      <c r="L162" s="62" t="str">
        <f t="shared" si="20"/>
        <v/>
      </c>
      <c r="M162" s="62" t="str">
        <f t="shared" si="21"/>
        <v/>
      </c>
      <c r="N162" s="155"/>
      <c r="U162" s="138">
        <f t="shared" si="22"/>
        <v>0</v>
      </c>
      <c r="V162" s="138">
        <f t="shared" si="23"/>
        <v>0</v>
      </c>
    </row>
    <row r="163" spans="1:22" hidden="1" x14ac:dyDescent="0.25">
      <c r="A163" s="167"/>
      <c r="B163" s="168"/>
      <c r="C163" s="169"/>
      <c r="D163" s="169"/>
      <c r="E163" s="170"/>
      <c r="F163" s="58" t="str">
        <f>IF($N$125="","",IF($N$125="INDUSTRIAL",IF(OR($D$123="",$D$129=""),"",IF(OR(D163&gt;$D$130,E163&gt;$D$131),"Rev. Total. abona.",IF(D163="",IF(E163="","",E163/(0.92*1000)),IF(OR($D$123="SAN CRISTOBAL",$D$123="FLOREANA"),VLOOKUP(D163,'Estratos SCY - FLO'!$A$4:$M$108,IF($D$129="A1",2,IF($D$129="A",5,IF($D$129="B",8,11))))+E163/(0.92*1000),VLOOKUP(D163,'Estratos SCX - ISA'!$A$3:$M$107,IF($D$129="A1",2,IF($D$129="A",5,IF($D$129="B",8,11))))+E163/(0.92*1000))))),IF(OR($D$123="",$D$129=""),"",IF(OR(D163&gt;$D$130,E163&gt;$D$131),"Rev. Total. abona.",IF(D163="",IF(E163="","",E163/(0.92*1000)),IF(OR($D$123="SAN CRISTOBAL",$D$123="FLOREANA"),VLOOKUP(D163,'Estratos SCY - FLO'!$O$4:$S$108,IF($D$129="A1",2,IF($D$129="A",3,IF($D$129="B",4,5))))+E163/(0.92*1000),VLOOKUP(D163,'Estratos SCX - ISA'!$O$4:$S$108,IF($D$129="A1",2,IF($D$129="A",3,IF($D$129="B",4,5))))+E163/(0.92*1000)))))))</f>
        <v/>
      </c>
      <c r="G163" s="59" t="str">
        <f t="shared" si="19"/>
        <v/>
      </c>
      <c r="H163" s="183"/>
      <c r="I163" s="183"/>
      <c r="J163" s="59" t="str">
        <f>IF(OR(H163="",$D$10="",$N$10=""),"",IF($D$10="COBRE",VLOOKUP(CDV_PROY_BT!H163,FDV!$B$16:$E$24,IF(CDV_PROY_BT!$N$10="3F",3,4),FALSE),IF($D$10="ACS",VLOOKUP(CDV_PROY_BT!H163,FDV!$B$10:$E$15,IF(CDV_PROY_BT!$N$10="3F",3,4),FALSE),IF($D$10="5005 (PREENSAMBLADO)",VLOOKUP(CDV_PROY_BT!H163,FDV!$B$4:$E$9,IF(CDV_PROY_BT!$N$10="3F",3,4),FALSE),VLOOKUP(CDV_PROY_BT!H163,FDV!$B$25:$E$30,IF(CDV_PROY_BT!$N$10="3F",3,4),FALSE)))))</f>
        <v/>
      </c>
      <c r="K163" s="63" t="str">
        <f t="shared" si="18"/>
        <v/>
      </c>
      <c r="L163" s="62" t="str">
        <f t="shared" si="20"/>
        <v/>
      </c>
      <c r="M163" s="62" t="str">
        <f t="shared" si="21"/>
        <v/>
      </c>
      <c r="N163" s="155"/>
      <c r="U163" s="138">
        <f t="shared" si="22"/>
        <v>0</v>
      </c>
      <c r="V163" s="138">
        <f t="shared" si="23"/>
        <v>0</v>
      </c>
    </row>
    <row r="164" spans="1:22" hidden="1" x14ac:dyDescent="0.25">
      <c r="A164" s="167"/>
      <c r="B164" s="168"/>
      <c r="C164" s="169"/>
      <c r="D164" s="169"/>
      <c r="E164" s="170"/>
      <c r="F164" s="58" t="str">
        <f>IF($N$125="","",IF($N$125="INDUSTRIAL",IF(OR($D$123="",$D$129=""),"",IF(OR(D164&gt;$D$130,E164&gt;$D$131),"Rev. Total. abona.",IF(D164="",IF(E164="","",E164/(0.92*1000)),IF(OR($D$123="SAN CRISTOBAL",$D$123="FLOREANA"),VLOOKUP(D164,'Estratos SCY - FLO'!$A$4:$M$108,IF($D$129="A1",2,IF($D$129="A",5,IF($D$129="B",8,11))))+E164/(0.92*1000),VLOOKUP(D164,'Estratos SCX - ISA'!$A$3:$M$107,IF($D$129="A1",2,IF($D$129="A",5,IF($D$129="B",8,11))))+E164/(0.92*1000))))),IF(OR($D$123="",$D$129=""),"",IF(OR(D164&gt;$D$130,E164&gt;$D$131),"Rev. Total. abona.",IF(D164="",IF(E164="","",E164/(0.92*1000)),IF(OR($D$123="SAN CRISTOBAL",$D$123="FLOREANA"),VLOOKUP(D164,'Estratos SCY - FLO'!$O$4:$S$108,IF($D$129="A1",2,IF($D$129="A",3,IF($D$129="B",4,5))))+E164/(0.92*1000),VLOOKUP(D164,'Estratos SCX - ISA'!$O$4:$S$108,IF($D$129="A1",2,IF($D$129="A",3,IF($D$129="B",4,5))))+E164/(0.92*1000)))))))</f>
        <v/>
      </c>
      <c r="G164" s="59" t="str">
        <f t="shared" si="19"/>
        <v/>
      </c>
      <c r="H164" s="183"/>
      <c r="I164" s="183"/>
      <c r="J164" s="59" t="str">
        <f>IF(OR(H164="",$D$10="",$N$10=""),"",IF($D$10="COBRE",VLOOKUP(CDV_PROY_BT!H164,FDV!$B$16:$E$24,IF(CDV_PROY_BT!$N$10="3F",3,4),FALSE),IF($D$10="ACS",VLOOKUP(CDV_PROY_BT!H164,FDV!$B$10:$E$15,IF(CDV_PROY_BT!$N$10="3F",3,4),FALSE),IF($D$10="5005 (PREENSAMBLADO)",VLOOKUP(CDV_PROY_BT!H164,FDV!$B$4:$E$9,IF(CDV_PROY_BT!$N$10="3F",3,4),FALSE),VLOOKUP(CDV_PROY_BT!H164,FDV!$B$25:$E$30,IF(CDV_PROY_BT!$N$10="3F",3,4),FALSE)))))</f>
        <v/>
      </c>
      <c r="K164" s="63" t="str">
        <f t="shared" si="18"/>
        <v/>
      </c>
      <c r="L164" s="62" t="str">
        <f t="shared" si="20"/>
        <v/>
      </c>
      <c r="M164" s="62" t="str">
        <f t="shared" si="21"/>
        <v/>
      </c>
      <c r="N164" s="155"/>
      <c r="U164" s="138">
        <f t="shared" si="22"/>
        <v>0</v>
      </c>
      <c r="V164" s="138">
        <f t="shared" si="23"/>
        <v>0</v>
      </c>
    </row>
    <row r="165" spans="1:22" hidden="1" x14ac:dyDescent="0.25">
      <c r="A165" s="167"/>
      <c r="B165" s="168"/>
      <c r="C165" s="169"/>
      <c r="D165" s="169"/>
      <c r="E165" s="170"/>
      <c r="F165" s="58" t="str">
        <f>IF($N$125="","",IF($N$125="INDUSTRIAL",IF(OR($D$123="",$D$129=""),"",IF(OR(D165&gt;$D$130,E165&gt;$D$131),"Rev. Total. abona.",IF(D165="",IF(E165="","",E165/(0.92*1000)),IF(OR($D$123="SAN CRISTOBAL",$D$123="FLOREANA"),VLOOKUP(D165,'Estratos SCY - FLO'!$A$4:$M$108,IF($D$129="A1",2,IF($D$129="A",5,IF($D$129="B",8,11))))+E165/(0.92*1000),VLOOKUP(D165,'Estratos SCX - ISA'!$A$3:$M$107,IF($D$129="A1",2,IF($D$129="A",5,IF($D$129="B",8,11))))+E165/(0.92*1000))))),IF(OR($D$123="",$D$129=""),"",IF(OR(D165&gt;$D$130,E165&gt;$D$131),"Rev. Total. abona.",IF(D165="",IF(E165="","",E165/(0.92*1000)),IF(OR($D$123="SAN CRISTOBAL",$D$123="FLOREANA"),VLOOKUP(D165,'Estratos SCY - FLO'!$O$4:$S$108,IF($D$129="A1",2,IF($D$129="A",3,IF($D$129="B",4,5))))+E165/(0.92*1000),VLOOKUP(D165,'Estratos SCX - ISA'!$O$4:$S$108,IF($D$129="A1",2,IF($D$129="A",3,IF($D$129="B",4,5))))+E165/(0.92*1000)))))))</f>
        <v/>
      </c>
      <c r="G165" s="59" t="str">
        <f t="shared" si="19"/>
        <v/>
      </c>
      <c r="H165" s="183"/>
      <c r="I165" s="183"/>
      <c r="J165" s="59" t="str">
        <f>IF(OR(H165="",$D$10="",$N$10=""),"",IF($D$10="COBRE",VLOOKUP(CDV_PROY_BT!H165,FDV!$B$16:$E$24,IF(CDV_PROY_BT!$N$10="3F",3,4),FALSE),IF($D$10="ACS",VLOOKUP(CDV_PROY_BT!H165,FDV!$B$10:$E$15,IF(CDV_PROY_BT!$N$10="3F",3,4),FALSE),IF($D$10="5005 (PREENSAMBLADO)",VLOOKUP(CDV_PROY_BT!H165,FDV!$B$4:$E$9,IF(CDV_PROY_BT!$N$10="3F",3,4),FALSE),VLOOKUP(CDV_PROY_BT!H165,FDV!$B$25:$E$30,IF(CDV_PROY_BT!$N$10="3F",3,4),FALSE)))))</f>
        <v/>
      </c>
      <c r="K165" s="63" t="str">
        <f t="shared" si="18"/>
        <v/>
      </c>
      <c r="L165" s="62" t="str">
        <f t="shared" si="20"/>
        <v/>
      </c>
      <c r="M165" s="62" t="str">
        <f t="shared" si="21"/>
        <v/>
      </c>
      <c r="N165" s="156"/>
      <c r="U165" s="138">
        <f t="shared" si="22"/>
        <v>0</v>
      </c>
      <c r="V165" s="138">
        <f t="shared" si="23"/>
        <v>0</v>
      </c>
    </row>
    <row r="166" spans="1:22" ht="15.75" hidden="1" thickBot="1" x14ac:dyDescent="0.3">
      <c r="A166" s="178"/>
      <c r="B166" s="179"/>
      <c r="C166" s="180"/>
      <c r="D166" s="180"/>
      <c r="E166" s="181"/>
      <c r="F166" s="68" t="str">
        <f>IF($N$125="","",IF($N$125="INDUSTRIAL",IF(OR($D$123="",$D$129=""),"",IF(OR(D166&gt;$D$130,E166&gt;$D$131),"Rev. Total. abona.",IF(D166="",IF(E166="","",E166/(0.92*1000)),IF(OR($D$123="SAN CRISTOBAL",$D$123="FLOREANA"),VLOOKUP(D166,'Estratos SCY - FLO'!$A$4:$M$108,IF($D$129="A1",2,IF($D$129="A",5,IF($D$129="B",8,11))))+E166/(0.92*1000),VLOOKUP(D166,'Estratos SCX - ISA'!$A$3:$M$107,IF($D$129="A1",2,IF($D$129="A",5,IF($D$129="B",8,11))))+E166/(0.92*1000))))),IF(OR($D$123="",$D$129=""),"",IF(OR(D166&gt;$D$130,E166&gt;$D$131),"Rev. Total. abona.",IF(D166="",IF(E166="","",E166/(0.92*1000)),IF(OR($D$123="SAN CRISTOBAL",$D$123="FLOREANA"),VLOOKUP(D166,'Estratos SCY - FLO'!$O$4:$S$108,IF($D$129="A1",2,IF($D$129="A",3,IF($D$129="B",4,5))))+E166/(0.92*1000),VLOOKUP(D166,'Estratos SCX - ISA'!$O$4:$S$108,IF($D$129="A1",2,IF($D$129="A",3,IF($D$129="B",4,5))))+E166/(0.92*1000)))))))</f>
        <v/>
      </c>
      <c r="G166" s="69" t="str">
        <f t="shared" si="19"/>
        <v/>
      </c>
      <c r="H166" s="184"/>
      <c r="I166" s="184"/>
      <c r="J166" s="69" t="str">
        <f>IF(OR(H166="",$D$10="",$N$10=""),"",IF($D$10="COBRE",VLOOKUP(CDV_PROY_BT!H166,FDV!$B$16:$E$24,IF(CDV_PROY_BT!$N$10="3F",3,4),FALSE),IF($D$10="ACS",VLOOKUP(CDV_PROY_BT!H166,FDV!$B$10:$E$15,IF(CDV_PROY_BT!$N$10="3F",3,4),FALSE),IF($D$10="5005 (PREENSAMBLADO)",VLOOKUP(CDV_PROY_BT!H166,FDV!$B$4:$E$9,IF(CDV_PROY_BT!$N$10="3F",3,4),FALSE),VLOOKUP(CDV_PROY_BT!H166,FDV!$B$25:$E$30,IF(CDV_PROY_BT!$N$10="3F",3,4),FALSE)))))</f>
        <v/>
      </c>
      <c r="K166" s="65" t="str">
        <f t="shared" si="18"/>
        <v/>
      </c>
      <c r="L166" s="64" t="str">
        <f t="shared" si="20"/>
        <v/>
      </c>
      <c r="M166" s="64" t="str">
        <f t="shared" si="21"/>
        <v/>
      </c>
      <c r="N166" s="157"/>
      <c r="U166" s="138">
        <f t="shared" si="22"/>
        <v>0</v>
      </c>
      <c r="V166" s="138">
        <f t="shared" si="23"/>
        <v>0</v>
      </c>
    </row>
    <row r="167" spans="1:22" ht="15.75" hidden="1" thickBot="1" x14ac:dyDescent="0.3">
      <c r="A167" s="143"/>
      <c r="B167" s="67" t="str">
        <f>IF(N136="","",N136)</f>
        <v>P22</v>
      </c>
      <c r="C167" s="144"/>
      <c r="D167" s="144"/>
      <c r="E167" s="145"/>
      <c r="F167" s="68" t="str">
        <f>IF(OR($D$123="",$D$129=""),"",IF(OR(D167&gt;$D$130,E167&gt;$D$131),"Rev. Total. abona.",IF(D167="",IF(E167="","",E167/(0.9*1000)),IF(OR($D$123="SAN CRISTOBAL",$D$123="FLOREANA"),VLOOKUP(D167,'Estratos SCY - FLO'!$A$4:$M$108,IF($D$129="A1",2,IF($D$129="A",5,IF($D$129="B",8,11))))+E167/(0.9*1000),VLOOKUP(D167,'Estratos SCX - ISA'!$A$3:$M$107,IF($D$129="A1",2,IF($D$129="A",5,IF($D$129="B",8,11))))+E167/(0.92*1000)))))</f>
        <v/>
      </c>
      <c r="G167" s="69" t="str">
        <f t="shared" si="19"/>
        <v/>
      </c>
      <c r="H167" s="146" t="e">
        <f>IF(B167="","",IF(B167-A167=1,H166,""))</f>
        <v>#VALUE!</v>
      </c>
      <c r="I167" s="146"/>
      <c r="J167" s="70" t="e">
        <f>IF(OR(H167="",$D$10="",$N$10=""),"",IF($D$10="COBRE",VLOOKUP(CDV_PROY_BT!H167,FDV!$B$16:$E$24,IF(CDV_PROY_BT!$N$10="3F",3,4),FALSE),IF($D$10="ACS",VLOOKUP(CDV_PROY_BT!H167,FDV!$B$10:$E$15,IF(CDV_PROY_BT!$N$10="3F",3,4),FALSE),IF($D$10="5005 (PREENSAMBLADO)",VLOOKUP(CDV_PROY_BT!H167,FDV!$B$4:$E$9,IF(CDV_PROY_BT!$N$10="3F",3,4),FALSE),VLOOKUP(CDV_PROY_BT!H167,FDV!$B$25:$E$30,IF(CDV_PROY_BT!$N$10="3F",3,4),FALSE)))))</f>
        <v>#VALUE!</v>
      </c>
      <c r="K167" s="71" t="str">
        <f t="shared" si="18"/>
        <v/>
      </c>
      <c r="L167" s="68" t="str">
        <f t="shared" ref="L167" si="24">IF(C167="","",ROUND(K167/J167,2))</f>
        <v/>
      </c>
      <c r="M167" s="72">
        <v>0</v>
      </c>
      <c r="N167" s="66"/>
      <c r="U167" s="138">
        <f t="shared" ref="U167:U168" si="25">+IF(D167&gt;0,C167,0)</f>
        <v>0</v>
      </c>
      <c r="V167" s="138">
        <f t="shared" ref="V167:V168" si="26">IF(C167="",0,C167*G167)</f>
        <v>0</v>
      </c>
    </row>
    <row r="168" spans="1:22" ht="15.75" hidden="1" thickBot="1" x14ac:dyDescent="0.3">
      <c r="A168" s="73" t="s">
        <v>113</v>
      </c>
      <c r="B168" s="74"/>
      <c r="C168" s="75"/>
      <c r="D168" s="75"/>
      <c r="E168" s="76"/>
      <c r="F168" s="77"/>
      <c r="G168" s="78"/>
      <c r="H168" s="79"/>
      <c r="I168" s="79"/>
      <c r="J168" s="78"/>
      <c r="K168" s="121"/>
      <c r="L168" s="121"/>
      <c r="M168" s="128"/>
      <c r="N168" s="237"/>
      <c r="U168" s="138">
        <f t="shared" si="25"/>
        <v>0</v>
      </c>
      <c r="V168" s="138">
        <f t="shared" si="26"/>
        <v>0</v>
      </c>
    </row>
    <row r="169" spans="1:22" ht="15.75" hidden="1" thickBot="1" x14ac:dyDescent="0.3">
      <c r="A169" s="93" t="s">
        <v>96</v>
      </c>
      <c r="B169" s="94">
        <f>+ROUND(SUMIF(H140:H166,"4/0",V140:V168)*1.015,0)</f>
        <v>0</v>
      </c>
      <c r="C169" s="93" t="s">
        <v>97</v>
      </c>
      <c r="D169" s="94">
        <f>ROUND((SUMIF(H140:H166,"3/0",V140:V168))*1.015,0)</f>
        <v>0</v>
      </c>
      <c r="E169" s="82" t="s">
        <v>95</v>
      </c>
      <c r="F169" s="81">
        <f>ROUND((SUMIF(H140:H166,"2/0",V140:V168))*1.015,0)</f>
        <v>59</v>
      </c>
      <c r="G169" s="80" t="s">
        <v>57</v>
      </c>
      <c r="H169" s="81">
        <f>ROUND((SUMIF(H140:H166,"1/0",V140:V168))*1.015,0)</f>
        <v>0</v>
      </c>
      <c r="I169" s="93" t="s">
        <v>58</v>
      </c>
      <c r="J169" s="94">
        <f>ROUND((SUMIF(H140:H166,"2",V140:V168))*1.015,0)</f>
        <v>0</v>
      </c>
      <c r="K169" s="147"/>
      <c r="L169" s="91"/>
      <c r="M169" s="92"/>
      <c r="N169" s="238"/>
    </row>
    <row r="170" spans="1:22" ht="15.75" hidden="1" thickBot="1" x14ac:dyDescent="0.3">
      <c r="A170" s="119" t="s">
        <v>107</v>
      </c>
      <c r="B170" s="92"/>
      <c r="C170" s="91"/>
      <c r="D170" s="92"/>
      <c r="E170" s="91"/>
      <c r="F170" s="92"/>
      <c r="G170" s="91"/>
      <c r="H170" s="92"/>
      <c r="I170" s="92"/>
      <c r="J170" s="91"/>
      <c r="K170" s="92"/>
      <c r="L170" s="91"/>
      <c r="M170" s="92"/>
      <c r="N170" s="238"/>
    </row>
    <row r="171" spans="1:22" ht="15.75" hidden="1" thickBot="1" x14ac:dyDescent="0.3">
      <c r="A171" s="93" t="s">
        <v>96</v>
      </c>
      <c r="B171" s="94">
        <f>+ROUND(SUMIF(I140:I166,"4/0",U140:U168)*1.015,0)</f>
        <v>0</v>
      </c>
      <c r="C171" s="93" t="s">
        <v>97</v>
      </c>
      <c r="D171" s="94">
        <f>ROUND((SUMIF(I140:I166,"3/0",U140:U168))*1.015,0)</f>
        <v>0</v>
      </c>
      <c r="E171" s="93" t="s">
        <v>95</v>
      </c>
      <c r="F171" s="94">
        <f>ROUND((SUMIF(I140:I166,"2/0",U140:U168))*1.015,0)</f>
        <v>59</v>
      </c>
      <c r="G171" s="93" t="s">
        <v>57</v>
      </c>
      <c r="H171" s="94">
        <f>ROUND((SUMIF(I140:I166,"1/0",U140:U168))*1.015,0)</f>
        <v>0</v>
      </c>
      <c r="I171" s="93" t="s">
        <v>58</v>
      </c>
      <c r="J171" s="94">
        <f>ROUND((SUMIF(I140:I166,"2",U140:U168))*1.015,0)</f>
        <v>0</v>
      </c>
      <c r="L171" s="91"/>
      <c r="M171" s="92"/>
      <c r="N171" s="238"/>
    </row>
    <row r="172" spans="1:22" ht="15.75" hidden="1" thickBot="1" x14ac:dyDescent="0.3">
      <c r="A172" s="239" t="s">
        <v>123</v>
      </c>
      <c r="B172" s="239"/>
      <c r="C172" s="239"/>
      <c r="D172" s="21">
        <f>IF(N127="","",SUM(C140:C166))</f>
        <v>58</v>
      </c>
      <c r="E172" s="28" t="s">
        <v>59</v>
      </c>
      <c r="G172" s="21"/>
      <c r="H172" s="21"/>
      <c r="I172" s="21"/>
      <c r="J172" s="21"/>
      <c r="K172" s="21"/>
      <c r="L172" s="21"/>
      <c r="M172" s="23"/>
      <c r="N172" s="83" t="s">
        <v>80</v>
      </c>
    </row>
    <row r="173" spans="1:22" hidden="1" x14ac:dyDescent="0.25">
      <c r="A173" s="36" t="s">
        <v>60</v>
      </c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1"/>
      <c r="N173" s="84" t="s">
        <v>61</v>
      </c>
    </row>
    <row r="174" spans="1:22" ht="15.75" hidden="1" thickBot="1" x14ac:dyDescent="0.3">
      <c r="A174" s="148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3"/>
      <c r="N174" s="85">
        <f>MAX(N140:N166)</f>
        <v>3.16</v>
      </c>
    </row>
    <row r="175" spans="1:22" ht="15.75" hidden="1" thickBot="1" x14ac:dyDescent="0.3"/>
    <row r="176" spans="1:22" ht="15.75" hidden="1" thickBot="1" x14ac:dyDescent="0.3">
      <c r="A176" s="18"/>
      <c r="B176" s="18"/>
      <c r="C176" s="19"/>
      <c r="D176" s="19"/>
      <c r="E176" s="19"/>
      <c r="F176" s="20"/>
      <c r="G176" s="18"/>
      <c r="H176" s="18"/>
      <c r="I176" s="18"/>
      <c r="J176" s="19"/>
      <c r="K176" s="18"/>
      <c r="L176" s="18"/>
      <c r="M176" s="131" t="s">
        <v>122</v>
      </c>
      <c r="N176" s="161" t="s">
        <v>197</v>
      </c>
    </row>
    <row r="177" spans="1:31" ht="18" hidden="1" x14ac:dyDescent="0.25">
      <c r="A177" s="260" t="s">
        <v>62</v>
      </c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</row>
    <row r="178" spans="1:31" ht="18" hidden="1" x14ac:dyDescent="0.25">
      <c r="A178" s="192"/>
      <c r="B178" s="192"/>
      <c r="C178" s="192"/>
      <c r="D178" s="192"/>
      <c r="E178" s="192"/>
      <c r="F178" s="22" t="s">
        <v>111</v>
      </c>
      <c r="G178" s="192"/>
      <c r="H178" s="192"/>
      <c r="I178" s="192"/>
      <c r="J178" s="192"/>
      <c r="K178" s="192"/>
      <c r="L178" s="192"/>
      <c r="M178" s="192"/>
      <c r="N178" s="87"/>
    </row>
    <row r="179" spans="1:31" ht="15.75" hidden="1" x14ac:dyDescent="0.25">
      <c r="A179" s="261" t="s">
        <v>112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U179" s="138" t="s">
        <v>63</v>
      </c>
      <c r="W179" s="138" t="s">
        <v>24</v>
      </c>
      <c r="Y179" s="138" t="s">
        <v>69</v>
      </c>
      <c r="AA179" s="138" t="s">
        <v>72</v>
      </c>
      <c r="AB179" s="138" t="s">
        <v>77</v>
      </c>
      <c r="AC179" s="138" t="s">
        <v>79</v>
      </c>
      <c r="AD179" s="138" t="s">
        <v>160</v>
      </c>
      <c r="AE179" s="138" t="s">
        <v>166</v>
      </c>
    </row>
    <row r="180" spans="1:31" ht="16.5" hidden="1" thickBot="1" x14ac:dyDescent="0.3">
      <c r="A180" s="24"/>
      <c r="B180" s="18"/>
      <c r="C180" s="19"/>
      <c r="D180" s="19"/>
      <c r="E180" s="19"/>
      <c r="F180" s="20"/>
      <c r="G180" s="20"/>
      <c r="H180" s="18"/>
      <c r="I180" s="18"/>
      <c r="J180" s="18"/>
      <c r="K180" s="19"/>
      <c r="L180" s="18"/>
      <c r="M180" s="18"/>
      <c r="N180" s="23"/>
      <c r="U180" s="138" t="s">
        <v>64</v>
      </c>
      <c r="W180" s="138" t="s">
        <v>82</v>
      </c>
      <c r="Y180" s="138" t="s">
        <v>70</v>
      </c>
      <c r="AA180" s="138" t="s">
        <v>73</v>
      </c>
      <c r="AB180" s="138" t="s">
        <v>29</v>
      </c>
      <c r="AC180" s="139">
        <v>2</v>
      </c>
      <c r="AD180" s="138" t="s">
        <v>161</v>
      </c>
      <c r="AE180" s="138">
        <v>0.65</v>
      </c>
    </row>
    <row r="181" spans="1:31" ht="15.75" hidden="1" thickBot="1" x14ac:dyDescent="0.3">
      <c r="A181" s="25" t="s">
        <v>23</v>
      </c>
      <c r="B181" s="26"/>
      <c r="C181" s="88"/>
      <c r="D181" s="250" t="s">
        <v>64</v>
      </c>
      <c r="E181" s="250"/>
      <c r="F181" s="262" t="s">
        <v>92</v>
      </c>
      <c r="G181" s="263"/>
      <c r="H181" s="264" t="e">
        <f>+H123</f>
        <v>#REF!</v>
      </c>
      <c r="I181" s="265"/>
      <c r="J181" s="266"/>
      <c r="K181" s="267" t="s">
        <v>81</v>
      </c>
      <c r="L181" s="268"/>
      <c r="M181" s="269" t="e">
        <f>+M123</f>
        <v>#REF!</v>
      </c>
      <c r="N181" s="270"/>
      <c r="U181" s="138" t="s">
        <v>65</v>
      </c>
      <c r="W181" s="138" t="s">
        <v>83</v>
      </c>
      <c r="Y181" s="138" t="s">
        <v>7</v>
      </c>
      <c r="AA181" s="138" t="s">
        <v>76</v>
      </c>
      <c r="AB181" s="138" t="s">
        <v>78</v>
      </c>
      <c r="AC181" s="139" t="s">
        <v>0</v>
      </c>
      <c r="AD181" s="138" t="s">
        <v>162</v>
      </c>
      <c r="AE181" s="138">
        <v>0.7</v>
      </c>
    </row>
    <row r="182" spans="1:31" ht="15.75" hidden="1" thickBot="1" x14ac:dyDescent="0.3">
      <c r="A182" s="21"/>
      <c r="B182" s="21"/>
      <c r="C182" s="21"/>
      <c r="D182" s="21"/>
      <c r="E182" s="21"/>
      <c r="F182" s="28"/>
      <c r="G182" s="28"/>
      <c r="H182" s="21"/>
      <c r="I182" s="21"/>
      <c r="J182" s="21"/>
      <c r="K182" s="21"/>
      <c r="L182" s="21"/>
      <c r="M182" s="21"/>
      <c r="N182" s="23"/>
      <c r="U182" s="138" t="s">
        <v>66</v>
      </c>
      <c r="W182" s="138" t="s">
        <v>68</v>
      </c>
      <c r="Y182" s="138" t="s">
        <v>27</v>
      </c>
      <c r="AA182" s="138" t="s">
        <v>74</v>
      </c>
      <c r="AC182" s="139" t="s">
        <v>1</v>
      </c>
      <c r="AD182" s="138" t="s">
        <v>163</v>
      </c>
      <c r="AE182" s="138">
        <v>0.8</v>
      </c>
    </row>
    <row r="183" spans="1:31" ht="15.75" hidden="1" thickBot="1" x14ac:dyDescent="0.3">
      <c r="A183" s="25" t="s">
        <v>24</v>
      </c>
      <c r="B183" s="26"/>
      <c r="C183" s="26"/>
      <c r="D183" s="249" t="s">
        <v>68</v>
      </c>
      <c r="E183" s="250"/>
      <c r="F183" s="251"/>
      <c r="G183" s="26"/>
      <c r="H183" s="29"/>
      <c r="I183" s="29"/>
      <c r="J183" s="26"/>
      <c r="K183" s="26"/>
      <c r="L183" s="26" t="s">
        <v>164</v>
      </c>
      <c r="M183" s="26"/>
      <c r="N183" s="211" t="s">
        <v>163</v>
      </c>
      <c r="U183" s="138" t="s">
        <v>67</v>
      </c>
      <c r="Y183" s="138" t="s">
        <v>9</v>
      </c>
      <c r="AA183" s="138" t="s">
        <v>75</v>
      </c>
      <c r="AC183" s="139" t="s">
        <v>2</v>
      </c>
      <c r="AE183" s="138">
        <v>0.9</v>
      </c>
    </row>
    <row r="184" spans="1:31" ht="15.75" hidden="1" thickBot="1" x14ac:dyDescent="0.3">
      <c r="A184" s="23" t="s">
        <v>25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 t="s">
        <v>168</v>
      </c>
      <c r="L184" s="208"/>
      <c r="M184" s="23"/>
      <c r="N184" s="43" t="str">
        <f>IF(N185="","",IF(N185="3F","220 / 127 V","240 / 120 V"))</f>
        <v>220 / 127 V</v>
      </c>
      <c r="AC184" s="141" t="s">
        <v>3</v>
      </c>
      <c r="AE184" s="138">
        <v>1</v>
      </c>
    </row>
    <row r="185" spans="1:31" ht="15.75" hidden="1" thickBot="1" x14ac:dyDescent="0.3">
      <c r="A185" s="30" t="s">
        <v>26</v>
      </c>
      <c r="B185" s="18"/>
      <c r="C185" s="23"/>
      <c r="D185" s="252" t="s">
        <v>70</v>
      </c>
      <c r="E185" s="253"/>
      <c r="F185" s="18"/>
      <c r="G185" s="18"/>
      <c r="H185" s="18"/>
      <c r="I185" s="18"/>
      <c r="J185" s="18"/>
      <c r="K185" s="23"/>
      <c r="L185" s="18" t="s">
        <v>169</v>
      </c>
      <c r="M185" s="18"/>
      <c r="N185" s="151" t="s">
        <v>78</v>
      </c>
      <c r="U185" s="138" t="s">
        <v>64</v>
      </c>
      <c r="W185" s="138" t="s">
        <v>29</v>
      </c>
      <c r="X185" s="138" t="s">
        <v>78</v>
      </c>
    </row>
    <row r="186" spans="1:31" ht="15.75" hidden="1" thickBot="1" x14ac:dyDescent="0.3">
      <c r="A186" s="23"/>
      <c r="B186" s="31"/>
      <c r="C186" s="23"/>
      <c r="D186" s="19"/>
      <c r="E186" s="32"/>
      <c r="F186" s="32"/>
      <c r="G186" s="20"/>
      <c r="H186" s="20"/>
      <c r="I186" s="20"/>
      <c r="J186" s="33"/>
      <c r="K186" s="21" t="s">
        <v>165</v>
      </c>
      <c r="L186" s="35"/>
      <c r="M186" s="18"/>
      <c r="N186" s="209">
        <v>0.8</v>
      </c>
      <c r="U186" s="138" t="s">
        <v>84</v>
      </c>
      <c r="W186" s="138">
        <v>10</v>
      </c>
      <c r="X186" s="138">
        <v>30</v>
      </c>
    </row>
    <row r="187" spans="1:31" ht="15.75" hidden="1" thickBot="1" x14ac:dyDescent="0.3">
      <c r="A187" s="36" t="s">
        <v>71</v>
      </c>
      <c r="B187" s="37"/>
      <c r="C187" s="37"/>
      <c r="D187" s="150" t="s">
        <v>74</v>
      </c>
      <c r="E187" s="38"/>
      <c r="F187" s="39"/>
      <c r="G187" s="39"/>
      <c r="H187" s="39"/>
      <c r="I187" s="39"/>
      <c r="J187" s="37"/>
      <c r="K187" s="36"/>
      <c r="L187" s="37"/>
      <c r="M187" s="89" t="s">
        <v>30</v>
      </c>
      <c r="N187" s="190" t="s">
        <v>134</v>
      </c>
      <c r="U187" s="138" t="s">
        <v>85</v>
      </c>
      <c r="W187" s="138">
        <v>15</v>
      </c>
      <c r="X187" s="138">
        <v>50</v>
      </c>
    </row>
    <row r="188" spans="1:31" ht="15.75" hidden="1" thickBot="1" x14ac:dyDescent="0.3">
      <c r="A188" s="41" t="s">
        <v>31</v>
      </c>
      <c r="B188" s="21"/>
      <c r="C188" s="21"/>
      <c r="D188" s="150">
        <v>13</v>
      </c>
      <c r="E188" s="21"/>
      <c r="F188" s="28"/>
      <c r="G188" s="42" t="s">
        <v>32</v>
      </c>
      <c r="H188" s="254" t="e">
        <f>+H130</f>
        <v>#REF!</v>
      </c>
      <c r="I188" s="255"/>
      <c r="J188" s="255"/>
      <c r="K188" s="41"/>
      <c r="L188" s="21"/>
      <c r="M188" s="115" t="s">
        <v>93</v>
      </c>
      <c r="N188" s="210">
        <f>+N189/N186</f>
        <v>56.75612076681557</v>
      </c>
      <c r="U188" s="138" t="s">
        <v>86</v>
      </c>
      <c r="W188" s="138">
        <v>25</v>
      </c>
      <c r="X188" s="138">
        <v>75</v>
      </c>
    </row>
    <row r="189" spans="1:31" ht="15.75" hidden="1" thickBot="1" x14ac:dyDescent="0.3">
      <c r="A189" s="41" t="s">
        <v>34</v>
      </c>
      <c r="B189" s="21"/>
      <c r="C189" s="21"/>
      <c r="D189" s="162">
        <v>660</v>
      </c>
      <c r="E189" s="41"/>
      <c r="F189" s="28"/>
      <c r="G189" s="42" t="s">
        <v>35</v>
      </c>
      <c r="H189" s="256" t="e">
        <f>+H131</f>
        <v>#REF!</v>
      </c>
      <c r="I189" s="257"/>
      <c r="J189" s="257"/>
      <c r="K189" s="41"/>
      <c r="L189" s="21"/>
      <c r="M189" s="115" t="s">
        <v>167</v>
      </c>
      <c r="N189" s="116">
        <f>IF($N$183="","",IF($N$183="INDUSTRIAL",IF(OR(D181="",D187="",D188=""),"",(IF(OR(D181="SAN CRISTOBAL",D181="FLOREANA"),VLOOKUP(D188,'Estratos SCY - FLO'!$A$4:$M$108,IF(D187="A1",2,IF(D187="A",5,IF(D187="B",8,11))),0),VLOOKUP(D188,'Estratos SCX - ISA'!$A$4:$M$108,IF(D187="A1",2,IF(D187="A",5,IF(D187="B",8,11))),0))+D189/920)*N186),IF(OR(D181="",D187="",D188=""),"",(IF(OR(D181="SAN CRISTOBAL",D181="FLOREANA"),VLOOKUP(D188,'Estratos SCY - FLO'!$O$4:$S$108,IF(D187="A1",2,IF(D187="A",3,IF(D187="B",4,5))),0),VLOOKUP(D188,'Estratos SCX - ISA'!$O$4:$S$108,IF(D187="A1",2,IF(D187="A",3,IF(D187="B",4,5))),0))+D189/920)*N186)))</f>
        <v>45.404896613452458</v>
      </c>
      <c r="U189" s="138" t="s">
        <v>87</v>
      </c>
      <c r="W189" s="138">
        <v>37.5</v>
      </c>
      <c r="X189" s="138">
        <v>100</v>
      </c>
    </row>
    <row r="190" spans="1:31" ht="34.5" hidden="1" customHeight="1" thickBot="1" x14ac:dyDescent="0.3">
      <c r="A190" s="258" t="str">
        <f>+IF(OR(N183="INDUSTRIAL"),"NOTA: Estratos:  A1 (Consumo-Alto); A (Consumo-Medio); B(Consumo-Bajo); C(Consumo-Mínimo)",IF(N183="","","NOTA: Estratos:  A1 (Casco Urbano-Sector hotelero);A (Barrios Centricos); B(Zona Periferica); C(Zona Rural)"))</f>
        <v>NOTA: Estratos:  A1 (Consumo-Alto); A (Consumo-Medio); B(Consumo-Bajo); C(Consumo-Mínimo)</v>
      </c>
      <c r="B190" s="259"/>
      <c r="C190" s="259"/>
      <c r="D190" s="259"/>
      <c r="E190" s="259"/>
      <c r="F190" s="259"/>
      <c r="G190" s="259"/>
      <c r="H190" s="259"/>
      <c r="I190" s="259"/>
      <c r="J190" s="259"/>
      <c r="K190" s="44"/>
      <c r="L190" s="34"/>
      <c r="M190" s="130" t="str">
        <f>+IF(OR(N185="",D187="",D188=""),"","POT. NOMINAL TRAFO. (KVA):")</f>
        <v>POT. NOMINAL TRAFO. (KVA):</v>
      </c>
      <c r="N190" s="117">
        <f>IF(OR(N185="",N186="",N186=0),"",IF(N185="1F",IF(N189&lt;$W$11,$W$11,IF(AND(N189&gt;$W$11,N189&lt;$W$12),$W$12,IF(AND(N189&gt;$W$12,N189&lt;$W$13),$W$13,IF(AND(N189&gt;$W$13,N189&lt;$W$14),$W$14,IF(AND(N189&gt;$W$14,N189&lt;$W$15),$W$15,IF(AND(N189&gt;$W$15,N189&lt;$W$16),$W$16,IF(AND(N189&gt;$W$16,N189&lt;$W$17),$W$17,IF(AND(N189&gt;$W$17,N189&lt;$W$18),$W$18,IF(AND(N189&gt;$W$18,N189&lt;$W$19),$W$19,""))))))))),IF($N$189&lt;$X$11,$X$11,IF(AND(N189&gt;$X$11,N189&lt;$X$12),$X$12,IF(AND(N189&gt;$X$12,N189&lt;$X$13),$X$13,IF(AND(N189&gt;$X$13,N189&lt;$X$14),$X$14,IF(AND(N189&gt;$X$14,N189&lt;$X$15),$X$15,IF(AND(N189&gt;$X$15,N189&lt;$X$16),$X$16,IF(AND(N189&gt;$X$16,N189&lt;$X$17),$X$17,"")))))))))</f>
        <v>50</v>
      </c>
      <c r="U190" s="138" t="s">
        <v>88</v>
      </c>
      <c r="W190" s="138">
        <v>50</v>
      </c>
      <c r="X190" s="138">
        <v>125</v>
      </c>
    </row>
    <row r="191" spans="1:31" ht="15.75" hidden="1" thickBot="1" x14ac:dyDescent="0.3">
      <c r="A191" s="21"/>
      <c r="B191" s="21"/>
      <c r="C191" s="21"/>
      <c r="D191" s="21"/>
      <c r="E191" s="21"/>
      <c r="F191" s="28"/>
      <c r="G191" s="28"/>
      <c r="H191" s="21"/>
      <c r="I191" s="21"/>
      <c r="J191" s="21"/>
      <c r="K191" s="21"/>
      <c r="L191" s="21"/>
      <c r="M191" s="21"/>
      <c r="N191" s="23"/>
      <c r="U191" s="138" t="s">
        <v>89</v>
      </c>
      <c r="W191" s="138">
        <v>75</v>
      </c>
      <c r="X191" s="138">
        <v>150</v>
      </c>
    </row>
    <row r="192" spans="1:31" ht="19.5" hidden="1" thickBot="1" x14ac:dyDescent="0.3">
      <c r="A192" s="46" t="s">
        <v>36</v>
      </c>
      <c r="B192" s="47"/>
      <c r="C192" s="47"/>
      <c r="D192" s="48" t="s">
        <v>37</v>
      </c>
      <c r="E192" s="49"/>
      <c r="F192" s="50"/>
      <c r="G192" s="50"/>
      <c r="H192" s="37"/>
      <c r="I192" s="37"/>
      <c r="J192" s="37"/>
      <c r="K192" s="37"/>
      <c r="L192" s="37"/>
      <c r="M192" s="37"/>
      <c r="N192" s="40"/>
      <c r="U192" s="138" t="s">
        <v>90</v>
      </c>
      <c r="W192" s="138">
        <v>100</v>
      </c>
      <c r="X192" s="138">
        <v>200</v>
      </c>
    </row>
    <row r="193" spans="1:23" ht="15.75" hidden="1" thickBot="1" x14ac:dyDescent="0.3">
      <c r="A193" s="41"/>
      <c r="B193" s="21"/>
      <c r="C193" s="21"/>
      <c r="D193" s="21"/>
      <c r="E193" s="21"/>
      <c r="F193" s="28"/>
      <c r="G193" s="28"/>
      <c r="H193" s="21"/>
      <c r="I193" s="21"/>
      <c r="J193" s="21"/>
      <c r="K193" s="21"/>
      <c r="L193" s="21" t="s">
        <v>186</v>
      </c>
      <c r="M193" s="21"/>
      <c r="N193" s="163"/>
      <c r="U193" s="138" t="s">
        <v>91</v>
      </c>
      <c r="W193" s="138">
        <v>112.5</v>
      </c>
    </row>
    <row r="194" spans="1:23" ht="15.75" hidden="1" thickBot="1" x14ac:dyDescent="0.3">
      <c r="A194" s="44"/>
      <c r="B194" s="34"/>
      <c r="C194" s="34"/>
      <c r="D194" s="34"/>
      <c r="E194" s="34"/>
      <c r="F194" s="45"/>
      <c r="G194" s="45"/>
      <c r="H194" s="34"/>
      <c r="I194" s="34"/>
      <c r="J194" s="34"/>
      <c r="K194" s="34"/>
      <c r="L194" s="113" t="s">
        <v>102</v>
      </c>
      <c r="M194" s="142"/>
      <c r="N194" s="163" t="s">
        <v>140</v>
      </c>
      <c r="W194" s="138">
        <v>125</v>
      </c>
    </row>
    <row r="195" spans="1:23" ht="15.75" hidden="1" thickBot="1" x14ac:dyDescent="0.3">
      <c r="A195" s="21"/>
      <c r="B195" s="21"/>
      <c r="C195" s="21"/>
      <c r="D195" s="21"/>
      <c r="E195" s="21"/>
      <c r="F195" s="28"/>
      <c r="G195" s="28"/>
      <c r="H195" s="21"/>
      <c r="I195" s="21"/>
      <c r="J195" s="21"/>
      <c r="K195" s="21"/>
      <c r="L195" s="21"/>
      <c r="M195" s="21"/>
      <c r="N195" s="23"/>
    </row>
    <row r="196" spans="1:23" ht="15.75" hidden="1" thickBot="1" x14ac:dyDescent="0.3">
      <c r="A196" s="244" t="s">
        <v>38</v>
      </c>
      <c r="B196" s="245"/>
      <c r="C196" s="52" t="s">
        <v>39</v>
      </c>
      <c r="D196" s="52" t="s">
        <v>40</v>
      </c>
      <c r="E196" s="53" t="s">
        <v>41</v>
      </c>
      <c r="F196" s="53" t="s">
        <v>42</v>
      </c>
      <c r="G196" s="244" t="s">
        <v>43</v>
      </c>
      <c r="H196" s="246"/>
      <c r="I196" s="246"/>
      <c r="J196" s="245"/>
      <c r="K196" s="247" t="s">
        <v>44</v>
      </c>
      <c r="L196" s="246" t="s">
        <v>45</v>
      </c>
      <c r="M196" s="246"/>
      <c r="N196" s="245"/>
      <c r="U196" s="236" t="s">
        <v>98</v>
      </c>
      <c r="V196" s="236" t="s">
        <v>99</v>
      </c>
    </row>
    <row r="197" spans="1:23" ht="15.75" hidden="1" thickBot="1" x14ac:dyDescent="0.3">
      <c r="A197" s="52" t="s">
        <v>46</v>
      </c>
      <c r="B197" s="52" t="s">
        <v>47</v>
      </c>
      <c r="C197" s="54" t="s">
        <v>48</v>
      </c>
      <c r="D197" s="54" t="s">
        <v>49</v>
      </c>
      <c r="E197" s="55" t="s">
        <v>50</v>
      </c>
      <c r="F197" s="55" t="s">
        <v>51</v>
      </c>
      <c r="G197" s="56" t="s">
        <v>52</v>
      </c>
      <c r="H197" s="43" t="s">
        <v>105</v>
      </c>
      <c r="I197" s="124" t="s">
        <v>106</v>
      </c>
      <c r="J197" s="43" t="s">
        <v>53</v>
      </c>
      <c r="K197" s="248"/>
      <c r="L197" s="53" t="s">
        <v>54</v>
      </c>
      <c r="M197" s="43" t="s">
        <v>55</v>
      </c>
      <c r="N197" s="57" t="s">
        <v>56</v>
      </c>
      <c r="U197" s="236"/>
      <c r="V197" s="236"/>
    </row>
    <row r="198" spans="1:23" hidden="1" x14ac:dyDescent="0.25">
      <c r="A198" s="191" t="str">
        <f>IF(N194="","",N194)</f>
        <v>P30</v>
      </c>
      <c r="B198" s="164" t="s">
        <v>135</v>
      </c>
      <c r="C198" s="165">
        <v>30</v>
      </c>
      <c r="D198" s="165">
        <v>7</v>
      </c>
      <c r="E198" s="166">
        <v>550</v>
      </c>
      <c r="F198" s="193">
        <f>IF($N$183="","",IF($N$183="INDUSTRIAL",IF(OR($D$181="",$D$187=""),"",IF(OR(D198&gt;$D$188,E198&gt;$D$189),"Rev. Total. abona.",IF(D198="",IF(E198="","",E198/(0.92*1000)),IF(OR($D$181="SAN CRISTOBAL",$D$181="FLOREANA"),VLOOKUP(D198,'Estratos SCY - FLO'!$A$4:$M$108,IF($D$187="A1",2,IF($D$187="A",5,IF($D$187="B",8,11))))+E198/(0.92*1000),VLOOKUP(D198,'Estratos SCX - ISA'!$A$3:$M$107,IF($D$187="A1",2,IF($D$187="A",5,IF($D$187="B",8,11))))+E198/(0.92*1000))))),IF(OR($D$181="",$D$187=""),"",IF(OR(D198&gt;$D$188,E198&gt;$D$189),"Rev. Total. abona.",IF(D198="",IF(E198="","",E198/(0.92*1000)),IF(OR($D$181="SAN CRISTOBAL",$D$181="FLOREANA"),VLOOKUP(D198,'Estratos SCY - FLO'!$O$4:$S$108,IF($D$187="A1",2,IF($D$187="A",3,IF($D$187="B",4,5))))+E198/(0.92*1000),VLOOKUP(D198,'Estratos SCX - ISA'!$O$4:$S$108,IF($D$187="A1",2,IF($D$187="A",3,IF($D$187="B",4,5))))+E198/(0.92*1000)))))))</f>
        <v>32.501378662232511</v>
      </c>
      <c r="G198" s="95">
        <f>IF(OR($N$10="",C198=""),"",IF($N$10="1F",1,3))</f>
        <v>1</v>
      </c>
      <c r="H198" s="182" t="s">
        <v>0</v>
      </c>
      <c r="I198" s="182" t="s">
        <v>0</v>
      </c>
      <c r="J198" s="95">
        <f>IF(OR(H198="",$D$10="",$N$10=""),"",IF($D$10="COBRE",VLOOKUP(CDV_PROY_BT!H198,FDV!$B$16:$E$24,IF(CDV_PROY_BT!$N$10="3F",3,4),FALSE),IF($D$10="ACS",VLOOKUP(CDV_PROY_BT!H198,FDV!$B$10:$E$15,IF(CDV_PROY_BT!$N$10="3F",3,4),FALSE),IF($D$10="5005 (PREENSAMBLADO)",VLOOKUP(CDV_PROY_BT!H198,FDV!$B$4:$E$9,IF(CDV_PROY_BT!$N$10="3F",3,4),FALSE),VLOOKUP(CDV_PROY_BT!H198,FDV!$B$25:$E$30,IF(CDV_PROY_BT!$N$10="3F",3,4),FALSE)))))</f>
        <v>412</v>
      </c>
      <c r="K198" s="60">
        <f t="shared" ref="K198:K225" si="27">IF(C198="","",ROUND(F198*C198,0))</f>
        <v>975</v>
      </c>
      <c r="L198" s="61">
        <f>IF($N$19="","",IF(C198="","",ROUND(K198/J198,2)))</f>
        <v>2.37</v>
      </c>
      <c r="M198" s="61">
        <f>IF(C198="","",VLOOKUP(A198,$B$198:$N$225,12,FALSE)+L198+N193)</f>
        <v>2.37</v>
      </c>
      <c r="N198" s="154"/>
      <c r="U198" s="138">
        <f>+IF(C198="",0,C198)</f>
        <v>30</v>
      </c>
      <c r="V198" s="138">
        <f>IF(OR(C198="",G198=""),0,C198*G198)</f>
        <v>30</v>
      </c>
    </row>
    <row r="199" spans="1:23" hidden="1" x14ac:dyDescent="0.25">
      <c r="A199" s="167" t="s">
        <v>135</v>
      </c>
      <c r="B199" s="168" t="s">
        <v>128</v>
      </c>
      <c r="C199" s="169">
        <v>30</v>
      </c>
      <c r="D199" s="169"/>
      <c r="E199" s="170">
        <v>440</v>
      </c>
      <c r="F199" s="62">
        <f>IF($N$183="","",IF($N$183="INDUSTRIAL",IF(OR($D$181="",$D$187=""),"",IF(OR(D199&gt;$D$188,E199&gt;$D$189),"Rev. Total. abona.",IF(D199="",IF(E199="","",E199/(0.92*1000)),IF(OR($D$181="SAN CRISTOBAL",$D$181="FLOREANA"),VLOOKUP(D199,'Estratos SCY - FLO'!$A$4:$M$108,IF($D$187="A1",2,IF($D$187="A",5,IF($D$187="B",8,11))))+E199/(0.92*1000),VLOOKUP(D199,'Estratos SCX - ISA'!$A$3:$M$107,IF($D$187="A1",2,IF($D$187="A",5,IF($D$187="B",8,11))))+E199/(0.92*1000))))),IF(OR($D$181="",$D$187=""),"",IF(OR(D199&gt;$D$188,E199&gt;$D$189),"Rev. Total. abona.",IF(D199="",IF(E199="","",E199/(0.92*1000)),IF(OR($D$181="SAN CRISTOBAL",$D$181="FLOREANA"),VLOOKUP(D199,'Estratos SCY - FLO'!$O$4:$S$108,IF($D$187="A1",2,IF($D$187="A",3,IF($D$187="B",4,5))))+E199/(0.92*1000),VLOOKUP(D199,'Estratos SCX - ISA'!$O$4:$S$108,IF($D$187="A1",2,IF($D$187="A",3,IF($D$187="B",4,5))))+E199/(0.92*1000)))))))</f>
        <v>0.47826086956521741</v>
      </c>
      <c r="G199" s="59">
        <f t="shared" ref="G199:G225" si="28">IF(OR($N$10="",C199=""),"",IF($N$10="1F",1,3))</f>
        <v>1</v>
      </c>
      <c r="H199" s="183" t="s">
        <v>0</v>
      </c>
      <c r="I199" s="183" t="s">
        <v>0</v>
      </c>
      <c r="J199" s="59">
        <f>IF(OR(H199="",$D$10="",$N$10=""),"",IF($D$10="COBRE",VLOOKUP(CDV_PROY_BT!H199,FDV!$B$16:$E$24,IF(CDV_PROY_BT!$N$10="3F",3,4),FALSE),IF($D$10="ACS",VLOOKUP(CDV_PROY_BT!H199,FDV!$B$10:$E$15,IF(CDV_PROY_BT!$N$10="3F",3,4),FALSE),IF($D$10="5005 (PREENSAMBLADO)",VLOOKUP(CDV_PROY_BT!H199,FDV!$B$4:$E$9,IF(CDV_PROY_BT!$N$10="3F",3,4),FALSE),VLOOKUP(CDV_PROY_BT!H199,FDV!$B$25:$E$30,IF(CDV_PROY_BT!$N$10="3F",3,4),FALSE)))))</f>
        <v>412</v>
      </c>
      <c r="K199" s="63">
        <f t="shared" si="27"/>
        <v>14</v>
      </c>
      <c r="L199" s="62">
        <f t="shared" ref="L199:L224" si="29">IF($N$19="","",IF(C199="","",ROUND(K199/J199,2)))</f>
        <v>0.03</v>
      </c>
      <c r="M199" s="62">
        <f t="shared" ref="M199:M224" si="30">IF(C199="","",VLOOKUP(A199,$B$198:$N$225,12,FALSE)+L199)</f>
        <v>2.4</v>
      </c>
      <c r="N199" s="155"/>
      <c r="U199" s="138">
        <f t="shared" ref="U199:U224" si="31">+IF(C199="",0,C199)</f>
        <v>30</v>
      </c>
      <c r="V199" s="138">
        <f t="shared" ref="V199:V224" si="32">IF(OR(C199="",G199=""),0,C199*G199)</f>
        <v>30</v>
      </c>
    </row>
    <row r="200" spans="1:23" hidden="1" x14ac:dyDescent="0.25">
      <c r="A200" s="167" t="s">
        <v>128</v>
      </c>
      <c r="B200" s="168" t="s">
        <v>136</v>
      </c>
      <c r="C200" s="169">
        <v>34</v>
      </c>
      <c r="D200" s="169"/>
      <c r="E200" s="170">
        <v>220</v>
      </c>
      <c r="F200" s="58">
        <f>IF($N$183="","",IF($N$183="INDUSTRIAL",IF(OR($D$181="",$D$187=""),"",IF(OR(D200&gt;$D$188,E200&gt;$D$189),"Rev. Total. abona.",IF(D200="",IF(E200="","",E200/(0.92*1000)),IF(OR($D$181="SAN CRISTOBAL",$D$181="FLOREANA"),VLOOKUP(D200,'Estratos SCY - FLO'!$A$4:$M$108,IF($D$187="A1",2,IF($D$187="A",5,IF($D$187="B",8,11))))+E200/(0.92*1000),VLOOKUP(D200,'Estratos SCX - ISA'!$A$3:$M$107,IF($D$187="A1",2,IF($D$187="A",5,IF($D$187="B",8,11))))+E200/(0.92*1000))))),IF(OR($D$181="",$D$187=""),"",IF(OR(D200&gt;$D$188,E200&gt;$D$189),"Rev. Total. abona.",IF(D200="",IF(E200="","",E200/(0.92*1000)),IF(OR($D$181="SAN CRISTOBAL",$D$181="FLOREANA"),VLOOKUP(D200,'Estratos SCY - FLO'!$O$4:$S$108,IF($D$187="A1",2,IF($D$187="A",3,IF($D$187="B",4,5))))+E200/(0.92*1000),VLOOKUP(D200,'Estratos SCX - ISA'!$O$4:$S$108,IF($D$187="A1",2,IF($D$187="A",3,IF($D$187="B",4,5))))+E200/(0.92*1000)))))))</f>
        <v>0.2391304347826087</v>
      </c>
      <c r="G200" s="59">
        <f t="shared" si="28"/>
        <v>1</v>
      </c>
      <c r="H200" s="183" t="s">
        <v>0</v>
      </c>
      <c r="I200" s="183" t="s">
        <v>0</v>
      </c>
      <c r="J200" s="59">
        <f>IF(OR(H200="",$D$10="",$N$10=""),"",IF($D$10="COBRE",VLOOKUP(CDV_PROY_BT!H200,FDV!$B$16:$E$24,IF(CDV_PROY_BT!$N$10="3F",3,4),FALSE),IF($D$10="ACS",VLOOKUP(CDV_PROY_BT!H200,FDV!$B$10:$E$15,IF(CDV_PROY_BT!$N$10="3F",3,4),FALSE),IF($D$10="5005 (PREENSAMBLADO)",VLOOKUP(CDV_PROY_BT!H200,FDV!$B$4:$E$9,IF(CDV_PROY_BT!$N$10="3F",3,4),FALSE),VLOOKUP(CDV_PROY_BT!H200,FDV!$B$25:$E$30,IF(CDV_PROY_BT!$N$10="3F",3,4),FALSE)))))</f>
        <v>412</v>
      </c>
      <c r="K200" s="63">
        <f t="shared" si="27"/>
        <v>8</v>
      </c>
      <c r="L200" s="62">
        <f t="shared" si="29"/>
        <v>0.02</v>
      </c>
      <c r="M200" s="62">
        <f t="shared" si="30"/>
        <v>2.42</v>
      </c>
      <c r="N200" s="155"/>
      <c r="U200" s="138">
        <f t="shared" si="31"/>
        <v>34</v>
      </c>
      <c r="V200" s="138">
        <f t="shared" si="32"/>
        <v>34</v>
      </c>
    </row>
    <row r="201" spans="1:23" hidden="1" x14ac:dyDescent="0.25">
      <c r="A201" s="167" t="s">
        <v>136</v>
      </c>
      <c r="B201" s="168" t="s">
        <v>137</v>
      </c>
      <c r="C201" s="169">
        <v>35</v>
      </c>
      <c r="D201" s="169"/>
      <c r="E201" s="170">
        <v>110</v>
      </c>
      <c r="F201" s="58">
        <f>IF($N$183="","",IF($N$183="INDUSTRIAL",IF(OR($D$181="",$D$187=""),"",IF(OR(D201&gt;$D$188,E201&gt;$D$189),"Rev. Total. abona.",IF(D201="",IF(E201="","",E201/(0.92*1000)),IF(OR($D$181="SAN CRISTOBAL",$D$181="FLOREANA"),VLOOKUP(D201,'Estratos SCY - FLO'!$A$4:$M$108,IF($D$187="A1",2,IF($D$187="A",5,IF($D$187="B",8,11))))+E201/(0.92*1000),VLOOKUP(D201,'Estratos SCX - ISA'!$A$3:$M$107,IF($D$187="A1",2,IF($D$187="A",5,IF($D$187="B",8,11))))+E201/(0.92*1000))))),IF(OR($D$181="",$D$187=""),"",IF(OR(D201&gt;$D$188,E201&gt;$D$189),"Rev. Total. abona.",IF(D201="",IF(E201="","",E201/(0.92*1000)),IF(OR($D$181="SAN CRISTOBAL",$D$181="FLOREANA"),VLOOKUP(D201,'Estratos SCY - FLO'!$O$4:$S$108,IF($D$187="A1",2,IF($D$187="A",3,IF($D$187="B",4,5))))+E201/(0.92*1000),VLOOKUP(D201,'Estratos SCX - ISA'!$O$4:$S$108,IF($D$187="A1",2,IF($D$187="A",3,IF($D$187="B",4,5))))+E201/(0.92*1000)))))))</f>
        <v>0.11956521739130435</v>
      </c>
      <c r="G201" s="59">
        <f t="shared" si="28"/>
        <v>1</v>
      </c>
      <c r="H201" s="183" t="s">
        <v>0</v>
      </c>
      <c r="I201" s="183" t="s">
        <v>0</v>
      </c>
      <c r="J201" s="59">
        <f>IF(OR(H201="",$D$10="",$N$10=""),"",IF($D$10="COBRE",VLOOKUP(CDV_PROY_BT!H201,FDV!$B$16:$E$24,IF(CDV_PROY_BT!$N$10="3F",3,4),FALSE),IF($D$10="ACS",VLOOKUP(CDV_PROY_BT!H201,FDV!$B$10:$E$15,IF(CDV_PROY_BT!$N$10="3F",3,4),FALSE),IF($D$10="5005 (PREENSAMBLADO)",VLOOKUP(CDV_PROY_BT!H201,FDV!$B$4:$E$9,IF(CDV_PROY_BT!$N$10="3F",3,4),FALSE),VLOOKUP(CDV_PROY_BT!H201,FDV!$B$25:$E$30,IF(CDV_PROY_BT!$N$10="3F",3,4),FALSE)))))</f>
        <v>412</v>
      </c>
      <c r="K201" s="63">
        <f t="shared" si="27"/>
        <v>4</v>
      </c>
      <c r="L201" s="62">
        <f t="shared" si="29"/>
        <v>0.01</v>
      </c>
      <c r="M201" s="62">
        <f t="shared" si="30"/>
        <v>2.4299999999999997</v>
      </c>
      <c r="N201" s="155">
        <f>+M201</f>
        <v>2.4299999999999997</v>
      </c>
      <c r="U201" s="138">
        <f t="shared" si="31"/>
        <v>35</v>
      </c>
      <c r="V201" s="138">
        <f t="shared" si="32"/>
        <v>35</v>
      </c>
    </row>
    <row r="202" spans="1:23" hidden="1" x14ac:dyDescent="0.25">
      <c r="A202" s="167"/>
      <c r="B202" s="168"/>
      <c r="C202" s="169"/>
      <c r="D202" s="169"/>
      <c r="E202" s="170"/>
      <c r="F202" s="58" t="str">
        <f>IF($N$183="","",IF($N$183="INDUSTRIAL",IF(OR($D$181="",$D$187=""),"",IF(OR(D202&gt;$D$188,E202&gt;$D$189),"Rev. Total. abona.",IF(D202="",IF(E202="","",E202/(0.92*1000)),IF(OR($D$181="SAN CRISTOBAL",$D$181="FLOREANA"),VLOOKUP(D202,'Estratos SCY - FLO'!$A$4:$M$108,IF($D$187="A1",2,IF($D$187="A",5,IF($D$187="B",8,11))))+E202/(0.92*1000),VLOOKUP(D202,'Estratos SCX - ISA'!$A$3:$M$107,IF($D$187="A1",2,IF($D$187="A",5,IF($D$187="B",8,11))))+E202/(0.92*1000))))),IF(OR($D$181="",$D$187=""),"",IF(OR(D202&gt;$D$188,E202&gt;$D$189),"Rev. Total. abona.",IF(D202="",IF(E202="","",E202/(0.92*1000)),IF(OR($D$181="SAN CRISTOBAL",$D$181="FLOREANA"),VLOOKUP(D202,'Estratos SCY - FLO'!$O$4:$S$108,IF($D$187="A1",2,IF($D$187="A",3,IF($D$187="B",4,5))))+E202/(0.92*1000),VLOOKUP(D202,'Estratos SCX - ISA'!$O$4:$S$108,IF($D$187="A1",2,IF($D$187="A",3,IF($D$187="B",4,5))))+E202/(0.92*1000)))))))</f>
        <v/>
      </c>
      <c r="G202" s="59" t="str">
        <f t="shared" si="28"/>
        <v/>
      </c>
      <c r="H202" s="183"/>
      <c r="I202" s="183"/>
      <c r="J202" s="59" t="str">
        <f>IF(OR(H202="",$D$10="",$N$10=""),"",IF($D$10="COBRE",VLOOKUP(CDV_PROY_BT!H202,FDV!$B$16:$E$24,IF(CDV_PROY_BT!$N$10="3F",3,4),FALSE),IF($D$10="ACS",VLOOKUP(CDV_PROY_BT!H202,FDV!$B$10:$E$15,IF(CDV_PROY_BT!$N$10="3F",3,4),FALSE),IF($D$10="5005 (PREENSAMBLADO)",VLOOKUP(CDV_PROY_BT!H202,FDV!$B$4:$E$9,IF(CDV_PROY_BT!$N$10="3F",3,4),FALSE),VLOOKUP(CDV_PROY_BT!H202,FDV!$B$25:$E$30,IF(CDV_PROY_BT!$N$10="3F",3,4),FALSE)))))</f>
        <v/>
      </c>
      <c r="K202" s="63" t="str">
        <f t="shared" si="27"/>
        <v/>
      </c>
      <c r="L202" s="62" t="str">
        <f t="shared" si="29"/>
        <v/>
      </c>
      <c r="M202" s="62" t="str">
        <f t="shared" si="30"/>
        <v/>
      </c>
      <c r="N202" s="155"/>
      <c r="U202" s="138">
        <f t="shared" si="31"/>
        <v>0</v>
      </c>
      <c r="V202" s="138">
        <f t="shared" si="32"/>
        <v>0</v>
      </c>
    </row>
    <row r="203" spans="1:23" hidden="1" x14ac:dyDescent="0.25">
      <c r="A203" s="167"/>
      <c r="B203" s="168"/>
      <c r="C203" s="169"/>
      <c r="D203" s="169"/>
      <c r="E203" s="170"/>
      <c r="F203" s="58" t="str">
        <f>IF($N$183="","",IF($N$183="INDUSTRIAL",IF(OR($D$181="",$D$187=""),"",IF(OR(D203&gt;$D$188,E203&gt;$D$189),"Rev. Total. abona.",IF(D203="",IF(E203="","",E203/(0.92*1000)),IF(OR($D$181="SAN CRISTOBAL",$D$181="FLOREANA"),VLOOKUP(D203,'Estratos SCY - FLO'!$A$4:$M$108,IF($D$187="A1",2,IF($D$187="A",5,IF($D$187="B",8,11))))+E203/(0.92*1000),VLOOKUP(D203,'Estratos SCX - ISA'!$A$3:$M$107,IF($D$187="A1",2,IF($D$187="A",5,IF($D$187="B",8,11))))+E203/(0.92*1000))))),IF(OR($D$181="",$D$187=""),"",IF(OR(D203&gt;$D$188,E203&gt;$D$189),"Rev. Total. abona.",IF(D203="",IF(E203="","",E203/(0.92*1000)),IF(OR($D$181="SAN CRISTOBAL",$D$181="FLOREANA"),VLOOKUP(D203,'Estratos SCY - FLO'!$O$4:$S$108,IF($D$187="A1",2,IF($D$187="A",3,IF($D$187="B",4,5))))+E203/(0.92*1000),VLOOKUP(D203,'Estratos SCX - ISA'!$O$4:$S$108,IF($D$187="A1",2,IF($D$187="A",3,IF($D$187="B",4,5))))+E203/(0.92*1000)))))))</f>
        <v/>
      </c>
      <c r="G203" s="59" t="str">
        <f t="shared" si="28"/>
        <v/>
      </c>
      <c r="H203" s="183"/>
      <c r="I203" s="183"/>
      <c r="J203" s="59" t="str">
        <f>IF(OR(H203="",$D$10="",$N$10=""),"",IF($D$10="COBRE",VLOOKUP(CDV_PROY_BT!H203,FDV!$B$16:$E$24,IF(CDV_PROY_BT!$N$10="3F",3,4),FALSE),IF($D$10="ACS",VLOOKUP(CDV_PROY_BT!H203,FDV!$B$10:$E$15,IF(CDV_PROY_BT!$N$10="3F",3,4),FALSE),IF($D$10="5005 (PREENSAMBLADO)",VLOOKUP(CDV_PROY_BT!H203,FDV!$B$4:$E$9,IF(CDV_PROY_BT!$N$10="3F",3,4),FALSE),VLOOKUP(CDV_PROY_BT!H203,FDV!$B$25:$E$30,IF(CDV_PROY_BT!$N$10="3F",3,4),FALSE)))))</f>
        <v/>
      </c>
      <c r="K203" s="63" t="str">
        <f t="shared" si="27"/>
        <v/>
      </c>
      <c r="L203" s="62" t="str">
        <f t="shared" si="29"/>
        <v/>
      </c>
      <c r="M203" s="62" t="str">
        <f t="shared" si="30"/>
        <v/>
      </c>
      <c r="N203" s="155"/>
      <c r="U203" s="138">
        <f t="shared" si="31"/>
        <v>0</v>
      </c>
      <c r="V203" s="138">
        <f t="shared" si="32"/>
        <v>0</v>
      </c>
    </row>
    <row r="204" spans="1:23" hidden="1" x14ac:dyDescent="0.25">
      <c r="A204" s="167"/>
      <c r="B204" s="168"/>
      <c r="C204" s="169"/>
      <c r="D204" s="169"/>
      <c r="E204" s="170"/>
      <c r="F204" s="58" t="str">
        <f>IF($N$183="","",IF($N$183="INDUSTRIAL",IF(OR($D$181="",$D$187=""),"",IF(OR(D204&gt;$D$188,E204&gt;$D$189),"Rev. Total. abona.",IF(D204="",IF(E204="","",E204/(0.92*1000)),IF(OR($D$181="SAN CRISTOBAL",$D$181="FLOREANA"),VLOOKUP(D204,'Estratos SCY - FLO'!$A$4:$M$108,IF($D$187="A1",2,IF($D$187="A",5,IF($D$187="B",8,11))))+E204/(0.92*1000),VLOOKUP(D204,'Estratos SCX - ISA'!$A$3:$M$107,IF($D$187="A1",2,IF($D$187="A",5,IF($D$187="B",8,11))))+E204/(0.92*1000))))),IF(OR($D$181="",$D$187=""),"",IF(OR(D204&gt;$D$188,E204&gt;$D$189),"Rev. Total. abona.",IF(D204="",IF(E204="","",E204/(0.92*1000)),IF(OR($D$181="SAN CRISTOBAL",$D$181="FLOREANA"),VLOOKUP(D204,'Estratos SCY - FLO'!$O$4:$S$108,IF($D$187="A1",2,IF($D$187="A",3,IF($D$187="B",4,5))))+E204/(0.92*1000),VLOOKUP(D204,'Estratos SCX - ISA'!$O$4:$S$108,IF($D$187="A1",2,IF($D$187="A",3,IF($D$187="B",4,5))))+E204/(0.92*1000)))))))</f>
        <v/>
      </c>
      <c r="G204" s="59" t="str">
        <f t="shared" si="28"/>
        <v/>
      </c>
      <c r="H204" s="183"/>
      <c r="I204" s="183"/>
      <c r="J204" s="59" t="str">
        <f>IF(OR(H204="",$D$10="",$N$10=""),"",IF($D$10="COBRE",VLOOKUP(CDV_PROY_BT!H204,FDV!$B$16:$E$24,IF(CDV_PROY_BT!$N$10="3F",3,4),FALSE),IF($D$10="ACS",VLOOKUP(CDV_PROY_BT!H204,FDV!$B$10:$E$15,IF(CDV_PROY_BT!$N$10="3F",3,4),FALSE),IF($D$10="5005 (PREENSAMBLADO)",VLOOKUP(CDV_PROY_BT!H204,FDV!$B$4:$E$9,IF(CDV_PROY_BT!$N$10="3F",3,4),FALSE),VLOOKUP(CDV_PROY_BT!H204,FDV!$B$25:$E$30,IF(CDV_PROY_BT!$N$10="3F",3,4),FALSE)))))</f>
        <v/>
      </c>
      <c r="K204" s="63" t="str">
        <f t="shared" si="27"/>
        <v/>
      </c>
      <c r="L204" s="62" t="str">
        <f t="shared" si="29"/>
        <v/>
      </c>
      <c r="M204" s="62" t="str">
        <f t="shared" si="30"/>
        <v/>
      </c>
      <c r="N204" s="155"/>
      <c r="U204" s="138">
        <f t="shared" si="31"/>
        <v>0</v>
      </c>
      <c r="V204" s="138">
        <f t="shared" si="32"/>
        <v>0</v>
      </c>
    </row>
    <row r="205" spans="1:23" hidden="1" x14ac:dyDescent="0.25">
      <c r="A205" s="167"/>
      <c r="B205" s="168"/>
      <c r="C205" s="169"/>
      <c r="D205" s="169"/>
      <c r="E205" s="170"/>
      <c r="F205" s="58" t="str">
        <f>IF($N$183="","",IF($N$183="INDUSTRIAL",IF(OR($D$181="",$D$187=""),"",IF(OR(D205&gt;$D$188,E205&gt;$D$189),"Rev. Total. abona.",IF(D205="",IF(E205="","",E205/(0.92*1000)),IF(OR($D$181="SAN CRISTOBAL",$D$181="FLOREANA"),VLOOKUP(D205,'Estratos SCY - FLO'!$A$4:$M$108,IF($D$187="A1",2,IF($D$187="A",5,IF($D$187="B",8,11))))+E205/(0.92*1000),VLOOKUP(D205,'Estratos SCX - ISA'!$A$3:$M$107,IF($D$187="A1",2,IF($D$187="A",5,IF($D$187="B",8,11))))+E205/(0.92*1000))))),IF(OR($D$181="",$D$187=""),"",IF(OR(D205&gt;$D$188,E205&gt;$D$189),"Rev. Total. abona.",IF(D205="",IF(E205="","",E205/(0.92*1000)),IF(OR($D$181="SAN CRISTOBAL",$D$181="FLOREANA"),VLOOKUP(D205,'Estratos SCY - FLO'!$O$4:$S$108,IF($D$187="A1",2,IF($D$187="A",3,IF($D$187="B",4,5))))+E205/(0.92*1000),VLOOKUP(D205,'Estratos SCX - ISA'!$O$4:$S$108,IF($D$187="A1",2,IF($D$187="A",3,IF($D$187="B",4,5))))+E205/(0.92*1000)))))))</f>
        <v/>
      </c>
      <c r="G205" s="59" t="str">
        <f t="shared" si="28"/>
        <v/>
      </c>
      <c r="H205" s="183"/>
      <c r="I205" s="183"/>
      <c r="J205" s="59" t="str">
        <f>IF(OR(H205="",$D$10="",$N$10=""),"",IF($D$10="COBRE",VLOOKUP(CDV_PROY_BT!H205,FDV!$B$16:$E$24,IF(CDV_PROY_BT!$N$10="3F",3,4),FALSE),IF($D$10="ACS",VLOOKUP(CDV_PROY_BT!H205,FDV!$B$10:$E$15,IF(CDV_PROY_BT!$N$10="3F",3,4),FALSE),IF($D$10="5005 (PREENSAMBLADO)",VLOOKUP(CDV_PROY_BT!H205,FDV!$B$4:$E$9,IF(CDV_PROY_BT!$N$10="3F",3,4),FALSE),VLOOKUP(CDV_PROY_BT!H205,FDV!$B$25:$E$30,IF(CDV_PROY_BT!$N$10="3F",3,4),FALSE)))))</f>
        <v/>
      </c>
      <c r="K205" s="63" t="str">
        <f t="shared" si="27"/>
        <v/>
      </c>
      <c r="L205" s="62" t="str">
        <f t="shared" si="29"/>
        <v/>
      </c>
      <c r="M205" s="62" t="str">
        <f t="shared" si="30"/>
        <v/>
      </c>
      <c r="N205" s="155"/>
      <c r="U205" s="138">
        <f t="shared" si="31"/>
        <v>0</v>
      </c>
      <c r="V205" s="138">
        <f t="shared" si="32"/>
        <v>0</v>
      </c>
    </row>
    <row r="206" spans="1:23" hidden="1" x14ac:dyDescent="0.25">
      <c r="A206" s="171"/>
      <c r="B206" s="172"/>
      <c r="C206" s="173"/>
      <c r="D206" s="173"/>
      <c r="E206" s="170"/>
      <c r="F206" s="58" t="str">
        <f>IF($N$183="","",IF($N$183="INDUSTRIAL",IF(OR($D$181="",$D$187=""),"",IF(OR(D206&gt;$D$188,E206&gt;$D$189),"Rev. Total. abona.",IF(D206="",IF(E206="","",E206/(0.92*1000)),IF(OR($D$181="SAN CRISTOBAL",$D$181="FLOREANA"),VLOOKUP(D206,'Estratos SCY - FLO'!$A$4:$M$108,IF($D$187="A1",2,IF($D$187="A",5,IF($D$187="B",8,11))))+E206/(0.92*1000),VLOOKUP(D206,'Estratos SCX - ISA'!$A$3:$M$107,IF($D$187="A1",2,IF($D$187="A",5,IF($D$187="B",8,11))))+E206/(0.92*1000))))),IF(OR($D$181="",$D$187=""),"",IF(OR(D206&gt;$D$188,E206&gt;$D$189),"Rev. Total. abona.",IF(D206="",IF(E206="","",E206/(0.92*1000)),IF(OR($D$181="SAN CRISTOBAL",$D$181="FLOREANA"),VLOOKUP(D206,'Estratos SCY - FLO'!$O$4:$S$108,IF($D$187="A1",2,IF($D$187="A",3,IF($D$187="B",4,5))))+E206/(0.92*1000),VLOOKUP(D206,'Estratos SCX - ISA'!$O$4:$S$108,IF($D$187="A1",2,IF($D$187="A",3,IF($D$187="B",4,5))))+E206/(0.92*1000)))))))</f>
        <v/>
      </c>
      <c r="G206" s="59" t="str">
        <f t="shared" si="28"/>
        <v/>
      </c>
      <c r="H206" s="183"/>
      <c r="I206" s="183"/>
      <c r="J206" s="59" t="str">
        <f>IF(OR(H206="",$D$10="",$N$10=""),"",IF($D$10="COBRE",VLOOKUP(CDV_PROY_BT!H206,FDV!$B$16:$E$24,IF(CDV_PROY_BT!$N$10="3F",3,4),FALSE),IF($D$10="ACS",VLOOKUP(CDV_PROY_BT!H206,FDV!$B$10:$E$15,IF(CDV_PROY_BT!$N$10="3F",3,4),FALSE),IF($D$10="5005 (PREENSAMBLADO)",VLOOKUP(CDV_PROY_BT!H206,FDV!$B$4:$E$9,IF(CDV_PROY_BT!$N$10="3F",3,4),FALSE),VLOOKUP(CDV_PROY_BT!H206,FDV!$B$25:$E$30,IF(CDV_PROY_BT!$N$10="3F",3,4),FALSE)))))</f>
        <v/>
      </c>
      <c r="K206" s="63" t="str">
        <f t="shared" si="27"/>
        <v/>
      </c>
      <c r="L206" s="62" t="str">
        <f t="shared" si="29"/>
        <v/>
      </c>
      <c r="M206" s="62" t="str">
        <f t="shared" si="30"/>
        <v/>
      </c>
      <c r="N206" s="155"/>
      <c r="U206" s="138">
        <f t="shared" si="31"/>
        <v>0</v>
      </c>
      <c r="V206" s="138">
        <f t="shared" si="32"/>
        <v>0</v>
      </c>
    </row>
    <row r="207" spans="1:23" hidden="1" x14ac:dyDescent="0.25">
      <c r="A207" s="167"/>
      <c r="B207" s="168"/>
      <c r="C207" s="169"/>
      <c r="D207" s="169"/>
      <c r="E207" s="174"/>
      <c r="F207" s="58" t="str">
        <f>IF($N$183="","",IF($N$183="INDUSTRIAL",IF(OR($D$181="",$D$187=""),"",IF(OR(D207&gt;$D$188,E207&gt;$D$189),"Rev. Total. abona.",IF(D207="",IF(E207="","",E207/(0.92*1000)),IF(OR($D$181="SAN CRISTOBAL",$D$181="FLOREANA"),VLOOKUP(D207,'Estratos SCY - FLO'!$A$4:$M$108,IF($D$187="A1",2,IF($D$187="A",5,IF($D$187="B",8,11))))+E207/(0.92*1000),VLOOKUP(D207,'Estratos SCX - ISA'!$A$3:$M$107,IF($D$187="A1",2,IF($D$187="A",5,IF($D$187="B",8,11))))+E207/(0.92*1000))))),IF(OR($D$181="",$D$187=""),"",IF(OR(D207&gt;$D$188,E207&gt;$D$189),"Rev. Total. abona.",IF(D207="",IF(E207="","",E207/(0.92*1000)),IF(OR($D$181="SAN CRISTOBAL",$D$181="FLOREANA"),VLOOKUP(D207,'Estratos SCY - FLO'!$O$4:$S$108,IF($D$187="A1",2,IF($D$187="A",3,IF($D$187="B",4,5))))+E207/(0.92*1000),VLOOKUP(D207,'Estratos SCX - ISA'!$O$4:$S$108,IF($D$187="A1",2,IF($D$187="A",3,IF($D$187="B",4,5))))+E207/(0.92*1000)))))))</f>
        <v/>
      </c>
      <c r="G207" s="59" t="str">
        <f t="shared" si="28"/>
        <v/>
      </c>
      <c r="H207" s="183"/>
      <c r="I207" s="183"/>
      <c r="J207" s="59" t="str">
        <f>IF(OR(H207="",$D$10="",$N$10=""),"",IF($D$10="COBRE",VLOOKUP(CDV_PROY_BT!H207,FDV!$B$16:$E$24,IF(CDV_PROY_BT!$N$10="3F",3,4),FALSE),IF($D$10="ACS",VLOOKUP(CDV_PROY_BT!H207,FDV!$B$10:$E$15,IF(CDV_PROY_BT!$N$10="3F",3,4),FALSE),IF($D$10="5005 (PREENSAMBLADO)",VLOOKUP(CDV_PROY_BT!H207,FDV!$B$4:$E$9,IF(CDV_PROY_BT!$N$10="3F",3,4),FALSE),VLOOKUP(CDV_PROY_BT!H207,FDV!$B$25:$E$30,IF(CDV_PROY_BT!$N$10="3F",3,4),FALSE)))))</f>
        <v/>
      </c>
      <c r="K207" s="63" t="str">
        <f t="shared" si="27"/>
        <v/>
      </c>
      <c r="L207" s="62" t="str">
        <f t="shared" si="29"/>
        <v/>
      </c>
      <c r="M207" s="62" t="str">
        <f t="shared" si="30"/>
        <v/>
      </c>
      <c r="N207" s="155"/>
      <c r="U207" s="138">
        <f t="shared" si="31"/>
        <v>0</v>
      </c>
      <c r="V207" s="138">
        <f t="shared" si="32"/>
        <v>0</v>
      </c>
    </row>
    <row r="208" spans="1:23" hidden="1" x14ac:dyDescent="0.25">
      <c r="A208" s="175"/>
      <c r="B208" s="176"/>
      <c r="C208" s="177"/>
      <c r="D208" s="177"/>
      <c r="E208" s="170"/>
      <c r="F208" s="58" t="str">
        <f>IF($N$183="","",IF($N$183="INDUSTRIAL",IF(OR($D$181="",$D$187=""),"",IF(OR(D208&gt;$D$188,E208&gt;$D$189),"Rev. Total. abona.",IF(D208="",IF(E208="","",E208/(0.92*1000)),IF(OR($D$181="SAN CRISTOBAL",$D$181="FLOREANA"),VLOOKUP(D208,'Estratos SCY - FLO'!$A$4:$M$108,IF($D$187="A1",2,IF($D$187="A",5,IF($D$187="B",8,11))))+E208/(0.92*1000),VLOOKUP(D208,'Estratos SCX - ISA'!$A$3:$M$107,IF($D$187="A1",2,IF($D$187="A",5,IF($D$187="B",8,11))))+E208/(0.92*1000))))),IF(OR($D$181="",$D$187=""),"",IF(OR(D208&gt;$D$188,E208&gt;$D$189),"Rev. Total. abona.",IF(D208="",IF(E208="","",E208/(0.92*1000)),IF(OR($D$181="SAN CRISTOBAL",$D$181="FLOREANA"),VLOOKUP(D208,'Estratos SCY - FLO'!$O$4:$S$108,IF($D$187="A1",2,IF($D$187="A",3,IF($D$187="B",4,5))))+E208/(0.92*1000),VLOOKUP(D208,'Estratos SCX - ISA'!$O$4:$S$108,IF($D$187="A1",2,IF($D$187="A",3,IF($D$187="B",4,5))))+E208/(0.92*1000)))))))</f>
        <v/>
      </c>
      <c r="G208" s="59" t="str">
        <f t="shared" si="28"/>
        <v/>
      </c>
      <c r="H208" s="183"/>
      <c r="I208" s="183"/>
      <c r="J208" s="59" t="str">
        <f>IF(OR(H208="",$D$10="",$N$10=""),"",IF($D$10="COBRE",VLOOKUP(CDV_PROY_BT!H208,FDV!$B$16:$E$24,IF(CDV_PROY_BT!$N$10="3F",3,4),FALSE),IF($D$10="ACS",VLOOKUP(CDV_PROY_BT!H208,FDV!$B$10:$E$15,IF(CDV_PROY_BT!$N$10="3F",3,4),FALSE),IF($D$10="5005 (PREENSAMBLADO)",VLOOKUP(CDV_PROY_BT!H208,FDV!$B$4:$E$9,IF(CDV_PROY_BT!$N$10="3F",3,4),FALSE),VLOOKUP(CDV_PROY_BT!H208,FDV!$B$25:$E$30,IF(CDV_PROY_BT!$N$10="3F",3,4),FALSE)))))</f>
        <v/>
      </c>
      <c r="K208" s="63" t="str">
        <f t="shared" si="27"/>
        <v/>
      </c>
      <c r="L208" s="62" t="str">
        <f t="shared" si="29"/>
        <v/>
      </c>
      <c r="M208" s="62" t="str">
        <f t="shared" si="30"/>
        <v/>
      </c>
      <c r="N208" s="155"/>
      <c r="U208" s="138">
        <f t="shared" si="31"/>
        <v>0</v>
      </c>
      <c r="V208" s="138">
        <f t="shared" si="32"/>
        <v>0</v>
      </c>
    </row>
    <row r="209" spans="1:22" hidden="1" x14ac:dyDescent="0.25">
      <c r="A209" s="167"/>
      <c r="B209" s="168"/>
      <c r="C209" s="169"/>
      <c r="D209" s="169"/>
      <c r="E209" s="170"/>
      <c r="F209" s="58" t="str">
        <f>IF($N$183="","",IF($N$183="INDUSTRIAL",IF(OR($D$181="",$D$187=""),"",IF(OR(D209&gt;$D$188,E209&gt;$D$189),"Rev. Total. abona.",IF(D209="",IF(E209="","",E209/(0.92*1000)),IF(OR($D$181="SAN CRISTOBAL",$D$181="FLOREANA"),VLOOKUP(D209,'Estratos SCY - FLO'!$A$4:$M$108,IF($D$187="A1",2,IF($D$187="A",5,IF($D$187="B",8,11))))+E209/(0.92*1000),VLOOKUP(D209,'Estratos SCX - ISA'!$A$3:$M$107,IF($D$187="A1",2,IF($D$187="A",5,IF($D$187="B",8,11))))+E209/(0.92*1000))))),IF(OR($D$181="",$D$187=""),"",IF(OR(D209&gt;$D$188,E209&gt;$D$189),"Rev. Total. abona.",IF(D209="",IF(E209="","",E209/(0.92*1000)),IF(OR($D$181="SAN CRISTOBAL",$D$181="FLOREANA"),VLOOKUP(D209,'Estratos SCY - FLO'!$O$4:$S$108,IF($D$187="A1",2,IF($D$187="A",3,IF($D$187="B",4,5))))+E209/(0.92*1000),VLOOKUP(D209,'Estratos SCX - ISA'!$O$4:$S$108,IF($D$187="A1",2,IF($D$187="A",3,IF($D$187="B",4,5))))+E209/(0.92*1000)))))))</f>
        <v/>
      </c>
      <c r="G209" s="59" t="str">
        <f t="shared" si="28"/>
        <v/>
      </c>
      <c r="H209" s="183"/>
      <c r="I209" s="183"/>
      <c r="J209" s="59" t="str">
        <f>IF(OR(H209="",$D$10="",$N$10=""),"",IF($D$10="COBRE",VLOOKUP(CDV_PROY_BT!H209,FDV!$B$16:$E$24,IF(CDV_PROY_BT!$N$10="3F",3,4),FALSE),IF($D$10="ACS",VLOOKUP(CDV_PROY_BT!H209,FDV!$B$10:$E$15,IF(CDV_PROY_BT!$N$10="3F",3,4),FALSE),IF($D$10="5005 (PREENSAMBLADO)",VLOOKUP(CDV_PROY_BT!H209,FDV!$B$4:$E$9,IF(CDV_PROY_BT!$N$10="3F",3,4),FALSE),VLOOKUP(CDV_PROY_BT!H209,FDV!$B$25:$E$30,IF(CDV_PROY_BT!$N$10="3F",3,4),FALSE)))))</f>
        <v/>
      </c>
      <c r="K209" s="63" t="str">
        <f t="shared" si="27"/>
        <v/>
      </c>
      <c r="L209" s="62" t="str">
        <f t="shared" si="29"/>
        <v/>
      </c>
      <c r="M209" s="62" t="str">
        <f t="shared" si="30"/>
        <v/>
      </c>
      <c r="N209" s="155"/>
      <c r="U209" s="138">
        <f t="shared" si="31"/>
        <v>0</v>
      </c>
      <c r="V209" s="138">
        <f t="shared" si="32"/>
        <v>0</v>
      </c>
    </row>
    <row r="210" spans="1:22" hidden="1" x14ac:dyDescent="0.25">
      <c r="A210" s="167"/>
      <c r="B210" s="168"/>
      <c r="C210" s="169"/>
      <c r="D210" s="169"/>
      <c r="E210" s="170"/>
      <c r="F210" s="58" t="str">
        <f>IF($N$183="","",IF($N$183="INDUSTRIAL",IF(OR($D$181="",$D$187=""),"",IF(OR(D210&gt;$D$188,E210&gt;$D$189),"Rev. Total. abona.",IF(D210="",IF(E210="","",E210/(0.92*1000)),IF(OR($D$181="SAN CRISTOBAL",$D$181="FLOREANA"),VLOOKUP(D210,'Estratos SCY - FLO'!$A$4:$M$108,IF($D$187="A1",2,IF($D$187="A",5,IF($D$187="B",8,11))))+E210/(0.92*1000),VLOOKUP(D210,'Estratos SCX - ISA'!$A$3:$M$107,IF($D$187="A1",2,IF($D$187="A",5,IF($D$187="B",8,11))))+E210/(0.92*1000))))),IF(OR($D$181="",$D$187=""),"",IF(OR(D210&gt;$D$188,E210&gt;$D$189),"Rev. Total. abona.",IF(D210="",IF(E210="","",E210/(0.92*1000)),IF(OR($D$181="SAN CRISTOBAL",$D$181="FLOREANA"),VLOOKUP(D210,'Estratos SCY - FLO'!$O$4:$S$108,IF($D$187="A1",2,IF($D$187="A",3,IF($D$187="B",4,5))))+E210/(0.92*1000),VLOOKUP(D210,'Estratos SCX - ISA'!$O$4:$S$108,IF($D$187="A1",2,IF($D$187="A",3,IF($D$187="B",4,5))))+E210/(0.92*1000)))))))</f>
        <v/>
      </c>
      <c r="G210" s="59" t="str">
        <f t="shared" si="28"/>
        <v/>
      </c>
      <c r="H210" s="183"/>
      <c r="I210" s="183"/>
      <c r="J210" s="59" t="str">
        <f>IF(OR(H210="",$D$10="",$N$10=""),"",IF($D$10="COBRE",VLOOKUP(CDV_PROY_BT!H210,FDV!$B$16:$E$24,IF(CDV_PROY_BT!$N$10="3F",3,4),FALSE),IF($D$10="ACS",VLOOKUP(CDV_PROY_BT!H210,FDV!$B$10:$E$15,IF(CDV_PROY_BT!$N$10="3F",3,4),FALSE),IF($D$10="5005 (PREENSAMBLADO)",VLOOKUP(CDV_PROY_BT!H210,FDV!$B$4:$E$9,IF(CDV_PROY_BT!$N$10="3F",3,4),FALSE),VLOOKUP(CDV_PROY_BT!H210,FDV!$B$25:$E$30,IF(CDV_PROY_BT!$N$10="3F",3,4),FALSE)))))</f>
        <v/>
      </c>
      <c r="K210" s="63" t="str">
        <f t="shared" si="27"/>
        <v/>
      </c>
      <c r="L210" s="62" t="str">
        <f t="shared" si="29"/>
        <v/>
      </c>
      <c r="M210" s="62" t="str">
        <f t="shared" si="30"/>
        <v/>
      </c>
      <c r="N210" s="155"/>
      <c r="U210" s="138">
        <f t="shared" si="31"/>
        <v>0</v>
      </c>
      <c r="V210" s="138">
        <f t="shared" si="32"/>
        <v>0</v>
      </c>
    </row>
    <row r="211" spans="1:22" hidden="1" x14ac:dyDescent="0.25">
      <c r="A211" s="167"/>
      <c r="B211" s="168"/>
      <c r="C211" s="169"/>
      <c r="D211" s="169"/>
      <c r="E211" s="170"/>
      <c r="F211" s="58" t="str">
        <f>IF($N$183="","",IF($N$183="INDUSTRIAL",IF(OR($D$181="",$D$187=""),"",IF(OR(D211&gt;$D$188,E211&gt;$D$189),"Rev. Total. abona.",IF(D211="",IF(E211="","",E211/(0.92*1000)),IF(OR($D$181="SAN CRISTOBAL",$D$181="FLOREANA"),VLOOKUP(D211,'Estratos SCY - FLO'!$A$4:$M$108,IF($D$187="A1",2,IF($D$187="A",5,IF($D$187="B",8,11))))+E211/(0.92*1000),VLOOKUP(D211,'Estratos SCX - ISA'!$A$3:$M$107,IF($D$187="A1",2,IF($D$187="A",5,IF($D$187="B",8,11))))+E211/(0.92*1000))))),IF(OR($D$181="",$D$187=""),"",IF(OR(D211&gt;$D$188,E211&gt;$D$189),"Rev. Total. abona.",IF(D211="",IF(E211="","",E211/(0.92*1000)),IF(OR($D$181="SAN CRISTOBAL",$D$181="FLOREANA"),VLOOKUP(D211,'Estratos SCY - FLO'!$O$4:$S$108,IF($D$187="A1",2,IF($D$187="A",3,IF($D$187="B",4,5))))+E211/(0.92*1000),VLOOKUP(D211,'Estratos SCX - ISA'!$O$4:$S$108,IF($D$187="A1",2,IF($D$187="A",3,IF($D$187="B",4,5))))+E211/(0.92*1000)))))))</f>
        <v/>
      </c>
      <c r="G211" s="59" t="str">
        <f t="shared" si="28"/>
        <v/>
      </c>
      <c r="H211" s="183"/>
      <c r="I211" s="183"/>
      <c r="J211" s="59" t="str">
        <f>IF(OR(H211="",$D$10="",$N$10=""),"",IF($D$10="COBRE",VLOOKUP(CDV_PROY_BT!H211,FDV!$B$16:$E$24,IF(CDV_PROY_BT!$N$10="3F",3,4),FALSE),IF($D$10="ACS",VLOOKUP(CDV_PROY_BT!H211,FDV!$B$10:$E$15,IF(CDV_PROY_BT!$N$10="3F",3,4),FALSE),IF($D$10="5005 (PREENSAMBLADO)",VLOOKUP(CDV_PROY_BT!H211,FDV!$B$4:$E$9,IF(CDV_PROY_BT!$N$10="3F",3,4),FALSE),VLOOKUP(CDV_PROY_BT!H211,FDV!$B$25:$E$30,IF(CDV_PROY_BT!$N$10="3F",3,4),FALSE)))))</f>
        <v/>
      </c>
      <c r="K211" s="63" t="str">
        <f t="shared" si="27"/>
        <v/>
      </c>
      <c r="L211" s="62" t="str">
        <f t="shared" si="29"/>
        <v/>
      </c>
      <c r="M211" s="62" t="str">
        <f t="shared" si="30"/>
        <v/>
      </c>
      <c r="N211" s="155"/>
      <c r="U211" s="138">
        <f t="shared" si="31"/>
        <v>0</v>
      </c>
      <c r="V211" s="138">
        <f t="shared" si="32"/>
        <v>0</v>
      </c>
    </row>
    <row r="212" spans="1:22" hidden="1" x14ac:dyDescent="0.25">
      <c r="A212" s="167"/>
      <c r="B212" s="168"/>
      <c r="C212" s="169"/>
      <c r="D212" s="169"/>
      <c r="E212" s="170"/>
      <c r="F212" s="58" t="str">
        <f>IF($N$183="","",IF($N$183="INDUSTRIAL",IF(OR($D$181="",$D$187=""),"",IF(OR(D212&gt;$D$188,E212&gt;$D$189),"Rev. Total. abona.",IF(D212="",IF(E212="","",E212/(0.92*1000)),IF(OR($D$181="SAN CRISTOBAL",$D$181="FLOREANA"),VLOOKUP(D212,'Estratos SCY - FLO'!$A$4:$M$108,IF($D$187="A1",2,IF($D$187="A",5,IF($D$187="B",8,11))))+E212/(0.92*1000),VLOOKUP(D212,'Estratos SCX - ISA'!$A$3:$M$107,IF($D$187="A1",2,IF($D$187="A",5,IF($D$187="B",8,11))))+E212/(0.92*1000))))),IF(OR($D$181="",$D$187=""),"",IF(OR(D212&gt;$D$188,E212&gt;$D$189),"Rev. Total. abona.",IF(D212="",IF(E212="","",E212/(0.92*1000)),IF(OR($D$181="SAN CRISTOBAL",$D$181="FLOREANA"),VLOOKUP(D212,'Estratos SCY - FLO'!$O$4:$S$108,IF($D$187="A1",2,IF($D$187="A",3,IF($D$187="B",4,5))))+E212/(0.92*1000),VLOOKUP(D212,'Estratos SCX - ISA'!$O$4:$S$108,IF($D$187="A1",2,IF($D$187="A",3,IF($D$187="B",4,5))))+E212/(0.92*1000)))))))</f>
        <v/>
      </c>
      <c r="G212" s="59" t="str">
        <f t="shared" si="28"/>
        <v/>
      </c>
      <c r="H212" s="183"/>
      <c r="I212" s="183"/>
      <c r="J212" s="59" t="str">
        <f>IF(OR(H212="",$D$10="",$N$10=""),"",IF($D$10="COBRE",VLOOKUP(CDV_PROY_BT!H212,FDV!$B$16:$E$24,IF(CDV_PROY_BT!$N$10="3F",3,4),FALSE),IF($D$10="ACS",VLOOKUP(CDV_PROY_BT!H212,FDV!$B$10:$E$15,IF(CDV_PROY_BT!$N$10="3F",3,4),FALSE),IF($D$10="5005 (PREENSAMBLADO)",VLOOKUP(CDV_PROY_BT!H212,FDV!$B$4:$E$9,IF(CDV_PROY_BT!$N$10="3F",3,4),FALSE),VLOOKUP(CDV_PROY_BT!H212,FDV!$B$25:$E$30,IF(CDV_PROY_BT!$N$10="3F",3,4),FALSE)))))</f>
        <v/>
      </c>
      <c r="K212" s="63" t="str">
        <f t="shared" si="27"/>
        <v/>
      </c>
      <c r="L212" s="62" t="str">
        <f t="shared" si="29"/>
        <v/>
      </c>
      <c r="M212" s="62" t="str">
        <f t="shared" si="30"/>
        <v/>
      </c>
      <c r="N212" s="155"/>
      <c r="U212" s="138">
        <f t="shared" si="31"/>
        <v>0</v>
      </c>
      <c r="V212" s="138">
        <f t="shared" si="32"/>
        <v>0</v>
      </c>
    </row>
    <row r="213" spans="1:22" hidden="1" x14ac:dyDescent="0.25">
      <c r="A213" s="167"/>
      <c r="B213" s="168"/>
      <c r="C213" s="169"/>
      <c r="D213" s="169"/>
      <c r="E213" s="170"/>
      <c r="F213" s="58" t="str">
        <f>IF($N$183="","",IF($N$183="INDUSTRIAL",IF(OR($D$181="",$D$187=""),"",IF(OR(D213&gt;$D$188,E213&gt;$D$189),"Rev. Total. abona.",IF(D213="",IF(E213="","",E213/(0.92*1000)),IF(OR($D$181="SAN CRISTOBAL",$D$181="FLOREANA"),VLOOKUP(D213,'Estratos SCY - FLO'!$A$4:$M$108,IF($D$187="A1",2,IF($D$187="A",5,IF($D$187="B",8,11))))+E213/(0.92*1000),VLOOKUP(D213,'Estratos SCX - ISA'!$A$3:$M$107,IF($D$187="A1",2,IF($D$187="A",5,IF($D$187="B",8,11))))+E213/(0.92*1000))))),IF(OR($D$181="",$D$187=""),"",IF(OR(D213&gt;$D$188,E213&gt;$D$189),"Rev. Total. abona.",IF(D213="",IF(E213="","",E213/(0.92*1000)),IF(OR($D$181="SAN CRISTOBAL",$D$181="FLOREANA"),VLOOKUP(D213,'Estratos SCY - FLO'!$O$4:$S$108,IF($D$187="A1",2,IF($D$187="A",3,IF($D$187="B",4,5))))+E213/(0.92*1000),VLOOKUP(D213,'Estratos SCX - ISA'!$O$4:$S$108,IF($D$187="A1",2,IF($D$187="A",3,IF($D$187="B",4,5))))+E213/(0.92*1000)))))))</f>
        <v/>
      </c>
      <c r="G213" s="59" t="str">
        <f t="shared" si="28"/>
        <v/>
      </c>
      <c r="H213" s="183"/>
      <c r="I213" s="183"/>
      <c r="J213" s="59" t="str">
        <f>IF(OR(H213="",$D$10="",$N$10=""),"",IF($D$10="COBRE",VLOOKUP(CDV_PROY_BT!H213,FDV!$B$16:$E$24,IF(CDV_PROY_BT!$N$10="3F",3,4),FALSE),IF($D$10="ACS",VLOOKUP(CDV_PROY_BT!H213,FDV!$B$10:$E$15,IF(CDV_PROY_BT!$N$10="3F",3,4),FALSE),IF($D$10="5005 (PREENSAMBLADO)",VLOOKUP(CDV_PROY_BT!H213,FDV!$B$4:$E$9,IF(CDV_PROY_BT!$N$10="3F",3,4),FALSE),VLOOKUP(CDV_PROY_BT!H213,FDV!$B$25:$E$30,IF(CDV_PROY_BT!$N$10="3F",3,4),FALSE)))))</f>
        <v/>
      </c>
      <c r="K213" s="63" t="str">
        <f t="shared" si="27"/>
        <v/>
      </c>
      <c r="L213" s="62" t="str">
        <f t="shared" si="29"/>
        <v/>
      </c>
      <c r="M213" s="62" t="str">
        <f t="shared" si="30"/>
        <v/>
      </c>
      <c r="N213" s="155"/>
      <c r="U213" s="138">
        <f t="shared" si="31"/>
        <v>0</v>
      </c>
      <c r="V213" s="138">
        <f t="shared" si="32"/>
        <v>0</v>
      </c>
    </row>
    <row r="214" spans="1:22" hidden="1" x14ac:dyDescent="0.25">
      <c r="A214" s="167"/>
      <c r="B214" s="168"/>
      <c r="C214" s="169"/>
      <c r="D214" s="169"/>
      <c r="E214" s="170"/>
      <c r="F214" s="58" t="str">
        <f>IF($N$183="","",IF($N$183="INDUSTRIAL",IF(OR($D$181="",$D$187=""),"",IF(OR(D214&gt;$D$188,E214&gt;$D$189),"Rev. Total. abona.",IF(D214="",IF(E214="","",E214/(0.92*1000)),IF(OR($D$181="SAN CRISTOBAL",$D$181="FLOREANA"),VLOOKUP(D214,'Estratos SCY - FLO'!$A$4:$M$108,IF($D$187="A1",2,IF($D$187="A",5,IF($D$187="B",8,11))))+E214/(0.92*1000),VLOOKUP(D214,'Estratos SCX - ISA'!$A$3:$M$107,IF($D$187="A1",2,IF($D$187="A",5,IF($D$187="B",8,11))))+E214/(0.92*1000))))),IF(OR($D$181="",$D$187=""),"",IF(OR(D214&gt;$D$188,E214&gt;$D$189),"Rev. Total. abona.",IF(D214="",IF(E214="","",E214/(0.92*1000)),IF(OR($D$181="SAN CRISTOBAL",$D$181="FLOREANA"),VLOOKUP(D214,'Estratos SCY - FLO'!$O$4:$S$108,IF($D$187="A1",2,IF($D$187="A",3,IF($D$187="B",4,5))))+E214/(0.92*1000),VLOOKUP(D214,'Estratos SCX - ISA'!$O$4:$S$108,IF($D$187="A1",2,IF($D$187="A",3,IF($D$187="B",4,5))))+E214/(0.92*1000)))))))</f>
        <v/>
      </c>
      <c r="G214" s="59" t="str">
        <f t="shared" si="28"/>
        <v/>
      </c>
      <c r="H214" s="183"/>
      <c r="I214" s="183"/>
      <c r="J214" s="59" t="str">
        <f>IF(OR(H214="",$D$10="",$N$10=""),"",IF($D$10="COBRE",VLOOKUP(CDV_PROY_BT!H214,FDV!$B$16:$E$24,IF(CDV_PROY_BT!$N$10="3F",3,4),FALSE),IF($D$10="ACS",VLOOKUP(CDV_PROY_BT!H214,FDV!$B$10:$E$15,IF(CDV_PROY_BT!$N$10="3F",3,4),FALSE),IF($D$10="5005 (PREENSAMBLADO)",VLOOKUP(CDV_PROY_BT!H214,FDV!$B$4:$E$9,IF(CDV_PROY_BT!$N$10="3F",3,4),FALSE),VLOOKUP(CDV_PROY_BT!H214,FDV!$B$25:$E$30,IF(CDV_PROY_BT!$N$10="3F",3,4),FALSE)))))</f>
        <v/>
      </c>
      <c r="K214" s="63" t="str">
        <f t="shared" si="27"/>
        <v/>
      </c>
      <c r="L214" s="62" t="str">
        <f t="shared" si="29"/>
        <v/>
      </c>
      <c r="M214" s="62" t="str">
        <f t="shared" si="30"/>
        <v/>
      </c>
      <c r="N214" s="155"/>
      <c r="U214" s="138">
        <f t="shared" si="31"/>
        <v>0</v>
      </c>
      <c r="V214" s="138">
        <f t="shared" si="32"/>
        <v>0</v>
      </c>
    </row>
    <row r="215" spans="1:22" hidden="1" x14ac:dyDescent="0.25">
      <c r="A215" s="167"/>
      <c r="B215" s="168"/>
      <c r="C215" s="169"/>
      <c r="D215" s="169"/>
      <c r="E215" s="170"/>
      <c r="F215" s="58" t="str">
        <f>IF($N$183="","",IF($N$183="INDUSTRIAL",IF(OR($D$181="",$D$187=""),"",IF(OR(D215&gt;$D$188,E215&gt;$D$189),"Rev. Total. abona.",IF(D215="",IF(E215="","",E215/(0.92*1000)),IF(OR($D$181="SAN CRISTOBAL",$D$181="FLOREANA"),VLOOKUP(D215,'Estratos SCY - FLO'!$A$4:$M$108,IF($D$187="A1",2,IF($D$187="A",5,IF($D$187="B",8,11))))+E215/(0.92*1000),VLOOKUP(D215,'Estratos SCX - ISA'!$A$3:$M$107,IF($D$187="A1",2,IF($D$187="A",5,IF($D$187="B",8,11))))+E215/(0.92*1000))))),IF(OR($D$181="",$D$187=""),"",IF(OR(D215&gt;$D$188,E215&gt;$D$189),"Rev. Total. abona.",IF(D215="",IF(E215="","",E215/(0.92*1000)),IF(OR($D$181="SAN CRISTOBAL",$D$181="FLOREANA"),VLOOKUP(D215,'Estratos SCY - FLO'!$O$4:$S$108,IF($D$187="A1",2,IF($D$187="A",3,IF($D$187="B",4,5))))+E215/(0.92*1000),VLOOKUP(D215,'Estratos SCX - ISA'!$O$4:$S$108,IF($D$187="A1",2,IF($D$187="A",3,IF($D$187="B",4,5))))+E215/(0.92*1000)))))))</f>
        <v/>
      </c>
      <c r="G215" s="59" t="str">
        <f t="shared" si="28"/>
        <v/>
      </c>
      <c r="H215" s="183"/>
      <c r="I215" s="183"/>
      <c r="J215" s="59" t="str">
        <f>IF(OR(H215="",$D$10="",$N$10=""),"",IF($D$10="COBRE",VLOOKUP(CDV_PROY_BT!H215,FDV!$B$16:$E$24,IF(CDV_PROY_BT!$N$10="3F",3,4),FALSE),IF($D$10="ACS",VLOOKUP(CDV_PROY_BT!H215,FDV!$B$10:$E$15,IF(CDV_PROY_BT!$N$10="3F",3,4),FALSE),IF($D$10="5005 (PREENSAMBLADO)",VLOOKUP(CDV_PROY_BT!H215,FDV!$B$4:$E$9,IF(CDV_PROY_BT!$N$10="3F",3,4),FALSE),VLOOKUP(CDV_PROY_BT!H215,FDV!$B$25:$E$30,IF(CDV_PROY_BT!$N$10="3F",3,4),FALSE)))))</f>
        <v/>
      </c>
      <c r="K215" s="63" t="str">
        <f t="shared" si="27"/>
        <v/>
      </c>
      <c r="L215" s="62" t="str">
        <f t="shared" si="29"/>
        <v/>
      </c>
      <c r="M215" s="62" t="str">
        <f t="shared" si="30"/>
        <v/>
      </c>
      <c r="N215" s="155"/>
      <c r="U215" s="138">
        <f t="shared" si="31"/>
        <v>0</v>
      </c>
      <c r="V215" s="138">
        <f t="shared" si="32"/>
        <v>0</v>
      </c>
    </row>
    <row r="216" spans="1:22" hidden="1" x14ac:dyDescent="0.25">
      <c r="A216" s="167"/>
      <c r="B216" s="168"/>
      <c r="C216" s="169"/>
      <c r="D216" s="169"/>
      <c r="E216" s="170"/>
      <c r="F216" s="58" t="str">
        <f>IF($N$183="","",IF($N$183="INDUSTRIAL",IF(OR($D$181="",$D$187=""),"",IF(OR(D216&gt;$D$188,E216&gt;$D$189),"Rev. Total. abona.",IF(D216="",IF(E216="","",E216/(0.92*1000)),IF(OR($D$181="SAN CRISTOBAL",$D$181="FLOREANA"),VLOOKUP(D216,'Estratos SCY - FLO'!$A$4:$M$108,IF($D$187="A1",2,IF($D$187="A",5,IF($D$187="B",8,11))))+E216/(0.92*1000),VLOOKUP(D216,'Estratos SCX - ISA'!$A$3:$M$107,IF($D$187="A1",2,IF($D$187="A",5,IF($D$187="B",8,11))))+E216/(0.92*1000))))),IF(OR($D$181="",$D$187=""),"",IF(OR(D216&gt;$D$188,E216&gt;$D$189),"Rev. Total. abona.",IF(D216="",IF(E216="","",E216/(0.92*1000)),IF(OR($D$181="SAN CRISTOBAL",$D$181="FLOREANA"),VLOOKUP(D216,'Estratos SCY - FLO'!$O$4:$S$108,IF($D$187="A1",2,IF($D$187="A",3,IF($D$187="B",4,5))))+E216/(0.92*1000),VLOOKUP(D216,'Estratos SCX - ISA'!$O$4:$S$108,IF($D$187="A1",2,IF($D$187="A",3,IF($D$187="B",4,5))))+E216/(0.92*1000)))))))</f>
        <v/>
      </c>
      <c r="G216" s="59" t="str">
        <f t="shared" si="28"/>
        <v/>
      </c>
      <c r="H216" s="183"/>
      <c r="I216" s="183"/>
      <c r="J216" s="59" t="str">
        <f>IF(OR(H216="",$D$10="",$N$10=""),"",IF($D$10="COBRE",VLOOKUP(CDV_PROY_BT!H216,FDV!$B$16:$E$24,IF(CDV_PROY_BT!$N$10="3F",3,4),FALSE),IF($D$10="ACS",VLOOKUP(CDV_PROY_BT!H216,FDV!$B$10:$E$15,IF(CDV_PROY_BT!$N$10="3F",3,4),FALSE),IF($D$10="5005 (PREENSAMBLADO)",VLOOKUP(CDV_PROY_BT!H216,FDV!$B$4:$E$9,IF(CDV_PROY_BT!$N$10="3F",3,4),FALSE),VLOOKUP(CDV_PROY_BT!H216,FDV!$B$25:$E$30,IF(CDV_PROY_BT!$N$10="3F",3,4),FALSE)))))</f>
        <v/>
      </c>
      <c r="K216" s="63" t="str">
        <f t="shared" si="27"/>
        <v/>
      </c>
      <c r="L216" s="62" t="str">
        <f t="shared" si="29"/>
        <v/>
      </c>
      <c r="M216" s="62" t="str">
        <f t="shared" si="30"/>
        <v/>
      </c>
      <c r="N216" s="155"/>
      <c r="U216" s="138">
        <f t="shared" si="31"/>
        <v>0</v>
      </c>
      <c r="V216" s="138">
        <f t="shared" si="32"/>
        <v>0</v>
      </c>
    </row>
    <row r="217" spans="1:22" hidden="1" x14ac:dyDescent="0.25">
      <c r="A217" s="167"/>
      <c r="B217" s="168"/>
      <c r="C217" s="169"/>
      <c r="D217" s="169"/>
      <c r="E217" s="170"/>
      <c r="F217" s="58" t="str">
        <f>IF($N$183="","",IF($N$183="INDUSTRIAL",IF(OR($D$181="",$D$187=""),"",IF(OR(D217&gt;$D$188,E217&gt;$D$189),"Rev. Total. abona.",IF(D217="",IF(E217="","",E217/(0.92*1000)),IF(OR($D$181="SAN CRISTOBAL",$D$181="FLOREANA"),VLOOKUP(D217,'Estratos SCY - FLO'!$A$4:$M$108,IF($D$187="A1",2,IF($D$187="A",5,IF($D$187="B",8,11))))+E217/(0.92*1000),VLOOKUP(D217,'Estratos SCX - ISA'!$A$3:$M$107,IF($D$187="A1",2,IF($D$187="A",5,IF($D$187="B",8,11))))+E217/(0.92*1000))))),IF(OR($D$181="",$D$187=""),"",IF(OR(D217&gt;$D$188,E217&gt;$D$189),"Rev. Total. abona.",IF(D217="",IF(E217="","",E217/(0.92*1000)),IF(OR($D$181="SAN CRISTOBAL",$D$181="FLOREANA"),VLOOKUP(D217,'Estratos SCY - FLO'!$O$4:$S$108,IF($D$187="A1",2,IF($D$187="A",3,IF($D$187="B",4,5))))+E217/(0.92*1000),VLOOKUP(D217,'Estratos SCX - ISA'!$O$4:$S$108,IF($D$187="A1",2,IF($D$187="A",3,IF($D$187="B",4,5))))+E217/(0.92*1000)))))))</f>
        <v/>
      </c>
      <c r="G217" s="59" t="str">
        <f t="shared" si="28"/>
        <v/>
      </c>
      <c r="H217" s="183"/>
      <c r="I217" s="183"/>
      <c r="J217" s="59" t="str">
        <f>IF(OR(H217="",$D$10="",$N$10=""),"",IF($D$10="COBRE",VLOOKUP(CDV_PROY_BT!H217,FDV!$B$16:$E$24,IF(CDV_PROY_BT!$N$10="3F",3,4),FALSE),IF($D$10="ACS",VLOOKUP(CDV_PROY_BT!H217,FDV!$B$10:$E$15,IF(CDV_PROY_BT!$N$10="3F",3,4),FALSE),IF($D$10="5005 (PREENSAMBLADO)",VLOOKUP(CDV_PROY_BT!H217,FDV!$B$4:$E$9,IF(CDV_PROY_BT!$N$10="3F",3,4),FALSE),VLOOKUP(CDV_PROY_BT!H217,FDV!$B$25:$E$30,IF(CDV_PROY_BT!$N$10="3F",3,4),FALSE)))))</f>
        <v/>
      </c>
      <c r="K217" s="63" t="str">
        <f t="shared" si="27"/>
        <v/>
      </c>
      <c r="L217" s="62" t="str">
        <f t="shared" si="29"/>
        <v/>
      </c>
      <c r="M217" s="62" t="str">
        <f t="shared" si="30"/>
        <v/>
      </c>
      <c r="N217" s="155"/>
      <c r="U217" s="138">
        <f t="shared" si="31"/>
        <v>0</v>
      </c>
      <c r="V217" s="138">
        <f t="shared" si="32"/>
        <v>0</v>
      </c>
    </row>
    <row r="218" spans="1:22" hidden="1" x14ac:dyDescent="0.25">
      <c r="A218" s="167"/>
      <c r="B218" s="168"/>
      <c r="C218" s="169"/>
      <c r="D218" s="169"/>
      <c r="E218" s="170"/>
      <c r="F218" s="58" t="str">
        <f>IF($N$183="","",IF($N$183="INDUSTRIAL",IF(OR($D$181="",$D$187=""),"",IF(OR(D218&gt;$D$188,E218&gt;$D$189),"Rev. Total. abona.",IF(D218="",IF(E218="","",E218/(0.92*1000)),IF(OR($D$181="SAN CRISTOBAL",$D$181="FLOREANA"),VLOOKUP(D218,'Estratos SCY - FLO'!$A$4:$M$108,IF($D$187="A1",2,IF($D$187="A",5,IF($D$187="B",8,11))))+E218/(0.92*1000),VLOOKUP(D218,'Estratos SCX - ISA'!$A$3:$M$107,IF($D$187="A1",2,IF($D$187="A",5,IF($D$187="B",8,11))))+E218/(0.92*1000))))),IF(OR($D$181="",$D$187=""),"",IF(OR(D218&gt;$D$188,E218&gt;$D$189),"Rev. Total. abona.",IF(D218="",IF(E218="","",E218/(0.92*1000)),IF(OR($D$181="SAN CRISTOBAL",$D$181="FLOREANA"),VLOOKUP(D218,'Estratos SCY - FLO'!$O$4:$S$108,IF($D$187="A1",2,IF($D$187="A",3,IF($D$187="B",4,5))))+E218/(0.92*1000),VLOOKUP(D218,'Estratos SCX - ISA'!$O$4:$S$108,IF($D$187="A1",2,IF($D$187="A",3,IF($D$187="B",4,5))))+E218/(0.92*1000)))))))</f>
        <v/>
      </c>
      <c r="G218" s="59" t="str">
        <f t="shared" si="28"/>
        <v/>
      </c>
      <c r="H218" s="183"/>
      <c r="I218" s="183"/>
      <c r="J218" s="59" t="str">
        <f>IF(OR(H218="",$D$10="",$N$10=""),"",IF($D$10="COBRE",VLOOKUP(CDV_PROY_BT!H218,FDV!$B$16:$E$24,IF(CDV_PROY_BT!$N$10="3F",3,4),FALSE),IF($D$10="ACS",VLOOKUP(CDV_PROY_BT!H218,FDV!$B$10:$E$15,IF(CDV_PROY_BT!$N$10="3F",3,4),FALSE),IF($D$10="5005 (PREENSAMBLADO)",VLOOKUP(CDV_PROY_BT!H218,FDV!$B$4:$E$9,IF(CDV_PROY_BT!$N$10="3F",3,4),FALSE),VLOOKUP(CDV_PROY_BT!H218,FDV!$B$25:$E$30,IF(CDV_PROY_BT!$N$10="3F",3,4),FALSE)))))</f>
        <v/>
      </c>
      <c r="K218" s="63" t="str">
        <f t="shared" si="27"/>
        <v/>
      </c>
      <c r="L218" s="62" t="str">
        <f t="shared" si="29"/>
        <v/>
      </c>
      <c r="M218" s="62" t="str">
        <f t="shared" si="30"/>
        <v/>
      </c>
      <c r="N218" s="155"/>
      <c r="U218" s="138">
        <f t="shared" si="31"/>
        <v>0</v>
      </c>
      <c r="V218" s="138">
        <f t="shared" si="32"/>
        <v>0</v>
      </c>
    </row>
    <row r="219" spans="1:22" hidden="1" x14ac:dyDescent="0.25">
      <c r="A219" s="167"/>
      <c r="B219" s="168"/>
      <c r="C219" s="169"/>
      <c r="D219" s="169"/>
      <c r="E219" s="170"/>
      <c r="F219" s="58" t="str">
        <f>IF($N$183="","",IF($N$183="INDUSTRIAL",IF(OR($D$181="",$D$187=""),"",IF(OR(D219&gt;$D$188,E219&gt;$D$189),"Rev. Total. abona.",IF(D219="",IF(E219="","",E219/(0.92*1000)),IF(OR($D$181="SAN CRISTOBAL",$D$181="FLOREANA"),VLOOKUP(D219,'Estratos SCY - FLO'!$A$4:$M$108,IF($D$187="A1",2,IF($D$187="A",5,IF($D$187="B",8,11))))+E219/(0.92*1000),VLOOKUP(D219,'Estratos SCX - ISA'!$A$3:$M$107,IF($D$187="A1",2,IF($D$187="A",5,IF($D$187="B",8,11))))+E219/(0.92*1000))))),IF(OR($D$181="",$D$187=""),"",IF(OR(D219&gt;$D$188,E219&gt;$D$189),"Rev. Total. abona.",IF(D219="",IF(E219="","",E219/(0.92*1000)),IF(OR($D$181="SAN CRISTOBAL",$D$181="FLOREANA"),VLOOKUP(D219,'Estratos SCY - FLO'!$O$4:$S$108,IF($D$187="A1",2,IF($D$187="A",3,IF($D$187="B",4,5))))+E219/(0.92*1000),VLOOKUP(D219,'Estratos SCX - ISA'!$O$4:$S$108,IF($D$187="A1",2,IF($D$187="A",3,IF($D$187="B",4,5))))+E219/(0.92*1000)))))))</f>
        <v/>
      </c>
      <c r="G219" s="59" t="str">
        <f t="shared" si="28"/>
        <v/>
      </c>
      <c r="H219" s="183"/>
      <c r="I219" s="183"/>
      <c r="J219" s="59" t="str">
        <f>IF(OR(H219="",$D$10="",$N$10=""),"",IF($D$10="COBRE",VLOOKUP(CDV_PROY_BT!H219,FDV!$B$16:$E$24,IF(CDV_PROY_BT!$N$10="3F",3,4),FALSE),IF($D$10="ACS",VLOOKUP(CDV_PROY_BT!H219,FDV!$B$10:$E$15,IF(CDV_PROY_BT!$N$10="3F",3,4),FALSE),IF($D$10="5005 (PREENSAMBLADO)",VLOOKUP(CDV_PROY_BT!H219,FDV!$B$4:$E$9,IF(CDV_PROY_BT!$N$10="3F",3,4),FALSE),VLOOKUP(CDV_PROY_BT!H219,FDV!$B$25:$E$30,IF(CDV_PROY_BT!$N$10="3F",3,4),FALSE)))))</f>
        <v/>
      </c>
      <c r="K219" s="63" t="str">
        <f t="shared" si="27"/>
        <v/>
      </c>
      <c r="L219" s="62" t="str">
        <f t="shared" si="29"/>
        <v/>
      </c>
      <c r="M219" s="62" t="str">
        <f t="shared" si="30"/>
        <v/>
      </c>
      <c r="N219" s="155"/>
      <c r="U219" s="138">
        <f t="shared" si="31"/>
        <v>0</v>
      </c>
      <c r="V219" s="138">
        <f t="shared" si="32"/>
        <v>0</v>
      </c>
    </row>
    <row r="220" spans="1:22" hidden="1" x14ac:dyDescent="0.25">
      <c r="A220" s="167"/>
      <c r="B220" s="168"/>
      <c r="C220" s="169"/>
      <c r="D220" s="169"/>
      <c r="E220" s="170"/>
      <c r="F220" s="58" t="str">
        <f>IF($N$183="","",IF($N$183="INDUSTRIAL",IF(OR($D$181="",$D$187=""),"",IF(OR(D220&gt;$D$188,E220&gt;$D$189),"Rev. Total. abona.",IF(D220="",IF(E220="","",E220/(0.92*1000)),IF(OR($D$181="SAN CRISTOBAL",$D$181="FLOREANA"),VLOOKUP(D220,'Estratos SCY - FLO'!$A$4:$M$108,IF($D$187="A1",2,IF($D$187="A",5,IF($D$187="B",8,11))))+E220/(0.92*1000),VLOOKUP(D220,'Estratos SCX - ISA'!$A$3:$M$107,IF($D$187="A1",2,IF($D$187="A",5,IF($D$187="B",8,11))))+E220/(0.92*1000))))),IF(OR($D$181="",$D$187=""),"",IF(OR(D220&gt;$D$188,E220&gt;$D$189),"Rev. Total. abona.",IF(D220="",IF(E220="","",E220/(0.92*1000)),IF(OR($D$181="SAN CRISTOBAL",$D$181="FLOREANA"),VLOOKUP(D220,'Estratos SCY - FLO'!$O$4:$S$108,IF($D$187="A1",2,IF($D$187="A",3,IF($D$187="B",4,5))))+E220/(0.92*1000),VLOOKUP(D220,'Estratos SCX - ISA'!$O$4:$S$108,IF($D$187="A1",2,IF($D$187="A",3,IF($D$187="B",4,5))))+E220/(0.92*1000)))))))</f>
        <v/>
      </c>
      <c r="G220" s="59" t="str">
        <f t="shared" si="28"/>
        <v/>
      </c>
      <c r="H220" s="183"/>
      <c r="I220" s="183"/>
      <c r="J220" s="59" t="str">
        <f>IF(OR(H220="",$D$10="",$N$10=""),"",IF($D$10="COBRE",VLOOKUP(CDV_PROY_BT!H220,FDV!$B$16:$E$24,IF(CDV_PROY_BT!$N$10="3F",3,4),FALSE),IF($D$10="ACS",VLOOKUP(CDV_PROY_BT!H220,FDV!$B$10:$E$15,IF(CDV_PROY_BT!$N$10="3F",3,4),FALSE),IF($D$10="5005 (PREENSAMBLADO)",VLOOKUP(CDV_PROY_BT!H220,FDV!$B$4:$E$9,IF(CDV_PROY_BT!$N$10="3F",3,4),FALSE),VLOOKUP(CDV_PROY_BT!H220,FDV!$B$25:$E$30,IF(CDV_PROY_BT!$N$10="3F",3,4),FALSE)))))</f>
        <v/>
      </c>
      <c r="K220" s="63" t="str">
        <f t="shared" si="27"/>
        <v/>
      </c>
      <c r="L220" s="62" t="str">
        <f t="shared" si="29"/>
        <v/>
      </c>
      <c r="M220" s="62" t="str">
        <f t="shared" si="30"/>
        <v/>
      </c>
      <c r="N220" s="155"/>
      <c r="U220" s="138">
        <f t="shared" si="31"/>
        <v>0</v>
      </c>
      <c r="V220" s="138">
        <f t="shared" si="32"/>
        <v>0</v>
      </c>
    </row>
    <row r="221" spans="1:22" hidden="1" x14ac:dyDescent="0.25">
      <c r="A221" s="167"/>
      <c r="B221" s="168"/>
      <c r="C221" s="169"/>
      <c r="D221" s="169"/>
      <c r="E221" s="170"/>
      <c r="F221" s="58" t="str">
        <f>IF($N$183="","",IF($N$183="INDUSTRIAL",IF(OR($D$181="",$D$187=""),"",IF(OR(D221&gt;$D$188,E221&gt;$D$189),"Rev. Total. abona.",IF(D221="",IF(E221="","",E221/(0.92*1000)),IF(OR($D$181="SAN CRISTOBAL",$D$181="FLOREANA"),VLOOKUP(D221,'Estratos SCY - FLO'!$A$4:$M$108,IF($D$187="A1",2,IF($D$187="A",5,IF($D$187="B",8,11))))+E221/(0.92*1000),VLOOKUP(D221,'Estratos SCX - ISA'!$A$3:$M$107,IF($D$187="A1",2,IF($D$187="A",5,IF($D$187="B",8,11))))+E221/(0.92*1000))))),IF(OR($D$181="",$D$187=""),"",IF(OR(D221&gt;$D$188,E221&gt;$D$189),"Rev. Total. abona.",IF(D221="",IF(E221="","",E221/(0.92*1000)),IF(OR($D$181="SAN CRISTOBAL",$D$181="FLOREANA"),VLOOKUP(D221,'Estratos SCY - FLO'!$O$4:$S$108,IF($D$187="A1",2,IF($D$187="A",3,IF($D$187="B",4,5))))+E221/(0.92*1000),VLOOKUP(D221,'Estratos SCX - ISA'!$O$4:$S$108,IF($D$187="A1",2,IF($D$187="A",3,IF($D$187="B",4,5))))+E221/(0.92*1000)))))))</f>
        <v/>
      </c>
      <c r="G221" s="59" t="str">
        <f t="shared" si="28"/>
        <v/>
      </c>
      <c r="H221" s="183"/>
      <c r="I221" s="183"/>
      <c r="J221" s="59" t="str">
        <f>IF(OR(H221="",$D$10="",$N$10=""),"",IF($D$10="COBRE",VLOOKUP(CDV_PROY_BT!H221,FDV!$B$16:$E$24,IF(CDV_PROY_BT!$N$10="3F",3,4),FALSE),IF($D$10="ACS",VLOOKUP(CDV_PROY_BT!H221,FDV!$B$10:$E$15,IF(CDV_PROY_BT!$N$10="3F",3,4),FALSE),IF($D$10="5005 (PREENSAMBLADO)",VLOOKUP(CDV_PROY_BT!H221,FDV!$B$4:$E$9,IF(CDV_PROY_BT!$N$10="3F",3,4),FALSE),VLOOKUP(CDV_PROY_BT!H221,FDV!$B$25:$E$30,IF(CDV_PROY_BT!$N$10="3F",3,4),FALSE)))))</f>
        <v/>
      </c>
      <c r="K221" s="63" t="str">
        <f t="shared" si="27"/>
        <v/>
      </c>
      <c r="L221" s="62" t="str">
        <f t="shared" si="29"/>
        <v/>
      </c>
      <c r="M221" s="62" t="str">
        <f t="shared" si="30"/>
        <v/>
      </c>
      <c r="N221" s="155"/>
      <c r="U221" s="138">
        <f t="shared" si="31"/>
        <v>0</v>
      </c>
      <c r="V221" s="138">
        <f t="shared" si="32"/>
        <v>0</v>
      </c>
    </row>
    <row r="222" spans="1:22" hidden="1" x14ac:dyDescent="0.25">
      <c r="A222" s="167"/>
      <c r="B222" s="168"/>
      <c r="C222" s="169"/>
      <c r="D222" s="169"/>
      <c r="E222" s="170"/>
      <c r="F222" s="58" t="str">
        <f>IF($N$183="","",IF($N$183="INDUSTRIAL",IF(OR($D$181="",$D$187=""),"",IF(OR(D222&gt;$D$188,E222&gt;$D$189),"Rev. Total. abona.",IF(D222="",IF(E222="","",E222/(0.92*1000)),IF(OR($D$181="SAN CRISTOBAL",$D$181="FLOREANA"),VLOOKUP(D222,'Estratos SCY - FLO'!$A$4:$M$108,IF($D$187="A1",2,IF($D$187="A",5,IF($D$187="B",8,11))))+E222/(0.92*1000),VLOOKUP(D222,'Estratos SCX - ISA'!$A$3:$M$107,IF($D$187="A1",2,IF($D$187="A",5,IF($D$187="B",8,11))))+E222/(0.92*1000))))),IF(OR($D$181="",$D$187=""),"",IF(OR(D222&gt;$D$188,E222&gt;$D$189),"Rev. Total. abona.",IF(D222="",IF(E222="","",E222/(0.92*1000)),IF(OR($D$181="SAN CRISTOBAL",$D$181="FLOREANA"),VLOOKUP(D222,'Estratos SCY - FLO'!$O$4:$S$108,IF($D$187="A1",2,IF($D$187="A",3,IF($D$187="B",4,5))))+E222/(0.92*1000),VLOOKUP(D222,'Estratos SCX - ISA'!$O$4:$S$108,IF($D$187="A1",2,IF($D$187="A",3,IF($D$187="B",4,5))))+E222/(0.92*1000)))))))</f>
        <v/>
      </c>
      <c r="G222" s="59" t="str">
        <f t="shared" si="28"/>
        <v/>
      </c>
      <c r="H222" s="183"/>
      <c r="I222" s="183"/>
      <c r="J222" s="59" t="str">
        <f>IF(OR(H222="",$D$10="",$N$10=""),"",IF($D$10="COBRE",VLOOKUP(CDV_PROY_BT!H222,FDV!$B$16:$E$24,IF(CDV_PROY_BT!$N$10="3F",3,4),FALSE),IF($D$10="ACS",VLOOKUP(CDV_PROY_BT!H222,FDV!$B$10:$E$15,IF(CDV_PROY_BT!$N$10="3F",3,4),FALSE),IF($D$10="5005 (PREENSAMBLADO)",VLOOKUP(CDV_PROY_BT!H222,FDV!$B$4:$E$9,IF(CDV_PROY_BT!$N$10="3F",3,4),FALSE),VLOOKUP(CDV_PROY_BT!H222,FDV!$B$25:$E$30,IF(CDV_PROY_BT!$N$10="3F",3,4),FALSE)))))</f>
        <v/>
      </c>
      <c r="K222" s="63" t="str">
        <f t="shared" si="27"/>
        <v/>
      </c>
      <c r="L222" s="62" t="str">
        <f t="shared" si="29"/>
        <v/>
      </c>
      <c r="M222" s="62" t="str">
        <f t="shared" si="30"/>
        <v/>
      </c>
      <c r="N222" s="155"/>
      <c r="U222" s="138">
        <f t="shared" si="31"/>
        <v>0</v>
      </c>
      <c r="V222" s="138">
        <f t="shared" si="32"/>
        <v>0</v>
      </c>
    </row>
    <row r="223" spans="1:22" hidden="1" x14ac:dyDescent="0.25">
      <c r="A223" s="167"/>
      <c r="B223" s="168"/>
      <c r="C223" s="169"/>
      <c r="D223" s="169"/>
      <c r="E223" s="170"/>
      <c r="F223" s="58" t="str">
        <f>IF($N$183="","",IF($N$183="INDUSTRIAL",IF(OR($D$181="",$D$187=""),"",IF(OR(D223&gt;$D$188,E223&gt;$D$189),"Rev. Total. abona.",IF(D223="",IF(E223="","",E223/(0.92*1000)),IF(OR($D$181="SAN CRISTOBAL",$D$181="FLOREANA"),VLOOKUP(D223,'Estratos SCY - FLO'!$A$4:$M$108,IF($D$187="A1",2,IF($D$187="A",5,IF($D$187="B",8,11))))+E223/(0.92*1000),VLOOKUP(D223,'Estratos SCX - ISA'!$A$3:$M$107,IF($D$187="A1",2,IF($D$187="A",5,IF($D$187="B",8,11))))+E223/(0.92*1000))))),IF(OR($D$181="",$D$187=""),"",IF(OR(D223&gt;$D$188,E223&gt;$D$189),"Rev. Total. abona.",IF(D223="",IF(E223="","",E223/(0.92*1000)),IF(OR($D$181="SAN CRISTOBAL",$D$181="FLOREANA"),VLOOKUP(D223,'Estratos SCY - FLO'!$O$4:$S$108,IF($D$187="A1",2,IF($D$187="A",3,IF($D$187="B",4,5))))+E223/(0.92*1000),VLOOKUP(D223,'Estratos SCX - ISA'!$O$4:$S$108,IF($D$187="A1",2,IF($D$187="A",3,IF($D$187="B",4,5))))+E223/(0.92*1000)))))))</f>
        <v/>
      </c>
      <c r="G223" s="59" t="str">
        <f t="shared" si="28"/>
        <v/>
      </c>
      <c r="H223" s="183"/>
      <c r="I223" s="183"/>
      <c r="J223" s="59" t="str">
        <f>IF(OR(H223="",$D$10="",$N$10=""),"",IF($D$10="COBRE",VLOOKUP(CDV_PROY_BT!H223,FDV!$B$16:$E$24,IF(CDV_PROY_BT!$N$10="3F",3,4),FALSE),IF($D$10="ACS",VLOOKUP(CDV_PROY_BT!H223,FDV!$B$10:$E$15,IF(CDV_PROY_BT!$N$10="3F",3,4),FALSE),IF($D$10="5005 (PREENSAMBLADO)",VLOOKUP(CDV_PROY_BT!H223,FDV!$B$4:$E$9,IF(CDV_PROY_BT!$N$10="3F",3,4),FALSE),VLOOKUP(CDV_PROY_BT!H223,FDV!$B$25:$E$30,IF(CDV_PROY_BT!$N$10="3F",3,4),FALSE)))))</f>
        <v/>
      </c>
      <c r="K223" s="63" t="str">
        <f t="shared" si="27"/>
        <v/>
      </c>
      <c r="L223" s="62" t="str">
        <f t="shared" si="29"/>
        <v/>
      </c>
      <c r="M223" s="62" t="str">
        <f t="shared" si="30"/>
        <v/>
      </c>
      <c r="N223" s="156"/>
      <c r="U223" s="138">
        <f t="shared" si="31"/>
        <v>0</v>
      </c>
      <c r="V223" s="138">
        <f t="shared" si="32"/>
        <v>0</v>
      </c>
    </row>
    <row r="224" spans="1:22" ht="15.75" hidden="1" thickBot="1" x14ac:dyDescent="0.3">
      <c r="A224" s="178"/>
      <c r="B224" s="179"/>
      <c r="C224" s="180"/>
      <c r="D224" s="180"/>
      <c r="E224" s="181"/>
      <c r="F224" s="68" t="str">
        <f>IF($N$183="","",IF($N$183="INDUSTRIAL",IF(OR($D$181="",$D$187=""),"",IF(OR(D224&gt;$D$188,E224&gt;$D$189),"Rev. Total. abona.",IF(D224="",IF(E224="","",E224/(0.92*1000)),IF(OR($D$181="SAN CRISTOBAL",$D$181="FLOREANA"),VLOOKUP(D224,'Estratos SCY - FLO'!$A$4:$M$108,IF($D$187="A1",2,IF($D$187="A",5,IF($D$187="B",8,11))))+E224/(0.92*1000),VLOOKUP(D224,'Estratos SCX - ISA'!$A$3:$M$107,IF($D$187="A1",2,IF($D$187="A",5,IF($D$187="B",8,11))))+E224/(0.92*1000))))),IF(OR($D$181="",$D$187=""),"",IF(OR(D224&gt;$D$188,E224&gt;$D$189),"Rev. Total. abona.",IF(D224="",IF(E224="","",E224/(0.92*1000)),IF(OR($D$181="SAN CRISTOBAL",$D$181="FLOREANA"),VLOOKUP(D224,'Estratos SCY - FLO'!$O$4:$S$108,IF($D$187="A1",2,IF($D$187="A",3,IF($D$187="B",4,5))))+E224/(0.92*1000),VLOOKUP(D224,'Estratos SCX - ISA'!$O$4:$S$108,IF($D$187="A1",2,IF($D$187="A",3,IF($D$187="B",4,5))))+E224/(0.92*1000)))))))</f>
        <v/>
      </c>
      <c r="G224" s="69" t="str">
        <f t="shared" si="28"/>
        <v/>
      </c>
      <c r="H224" s="184"/>
      <c r="I224" s="184"/>
      <c r="J224" s="69" t="str">
        <f>IF(OR(H224="",$D$10="",$N$10=""),"",IF($D$10="COBRE",VLOOKUP(CDV_PROY_BT!H224,FDV!$B$16:$E$24,IF(CDV_PROY_BT!$N$10="3F",3,4),FALSE),IF($D$10="ACS",VLOOKUP(CDV_PROY_BT!H224,FDV!$B$10:$E$15,IF(CDV_PROY_BT!$N$10="3F",3,4),FALSE),IF($D$10="5005 (PREENSAMBLADO)",VLOOKUP(CDV_PROY_BT!H224,FDV!$B$4:$E$9,IF(CDV_PROY_BT!$N$10="3F",3,4),FALSE),VLOOKUP(CDV_PROY_BT!H224,FDV!$B$25:$E$30,IF(CDV_PROY_BT!$N$10="3F",3,4),FALSE)))))</f>
        <v/>
      </c>
      <c r="K224" s="65" t="str">
        <f t="shared" si="27"/>
        <v/>
      </c>
      <c r="L224" s="64" t="str">
        <f t="shared" si="29"/>
        <v/>
      </c>
      <c r="M224" s="64" t="str">
        <f t="shared" si="30"/>
        <v/>
      </c>
      <c r="N224" s="157"/>
      <c r="U224" s="138">
        <f t="shared" si="31"/>
        <v>0</v>
      </c>
      <c r="V224" s="138">
        <f t="shared" si="32"/>
        <v>0</v>
      </c>
    </row>
    <row r="225" spans="1:31" ht="15.75" hidden="1" thickBot="1" x14ac:dyDescent="0.3">
      <c r="A225" s="143"/>
      <c r="B225" s="67" t="str">
        <f>IF(N194="","",N194)</f>
        <v>P30</v>
      </c>
      <c r="C225" s="144"/>
      <c r="D225" s="144"/>
      <c r="E225" s="145"/>
      <c r="F225" s="68"/>
      <c r="G225" s="69" t="str">
        <f t="shared" si="28"/>
        <v/>
      </c>
      <c r="H225" s="146" t="e">
        <f>IF(B225="","",IF(B225-A225=1,H224,""))</f>
        <v>#VALUE!</v>
      </c>
      <c r="I225" s="146"/>
      <c r="J225" s="70" t="e">
        <f>IF(OR(H225="",$D$10="",$N$10=""),"",IF($D$10="COBRE",VLOOKUP(CDV_PROY_BT!H225,FDV!$B$16:$E$24,IF(CDV_PROY_BT!$N$10="3F",3,4),FALSE),IF($D$10="ACS",VLOOKUP(CDV_PROY_BT!H225,FDV!$B$10:$E$15,IF(CDV_PROY_BT!$N$10="3F",3,4),FALSE),IF($D$10="5005 (PREENSAMBLADO)",VLOOKUP(CDV_PROY_BT!H225,FDV!$B$4:$E$9,IF(CDV_PROY_BT!$N$10="3F",3,4),FALSE),VLOOKUP(CDV_PROY_BT!H225,FDV!$B$25:$E$30,IF(CDV_PROY_BT!$N$10="3F",3,4),FALSE)))))</f>
        <v>#VALUE!</v>
      </c>
      <c r="K225" s="71" t="str">
        <f t="shared" si="27"/>
        <v/>
      </c>
      <c r="L225" s="68" t="str">
        <f t="shared" ref="L225" si="33">IF(C225="","",ROUND(K225/J225,2))</f>
        <v/>
      </c>
      <c r="M225" s="72">
        <v>0</v>
      </c>
      <c r="N225" s="66"/>
      <c r="U225" s="138">
        <f t="shared" ref="U225:U226" si="34">+IF(D225&gt;0,C225,0)</f>
        <v>0</v>
      </c>
      <c r="V225" s="138">
        <f t="shared" ref="V225:V226" si="35">IF(C225="",0,C225*G225)</f>
        <v>0</v>
      </c>
    </row>
    <row r="226" spans="1:31" ht="15.75" hidden="1" thickBot="1" x14ac:dyDescent="0.3">
      <c r="A226" s="73" t="s">
        <v>113</v>
      </c>
      <c r="B226" s="74"/>
      <c r="C226" s="75"/>
      <c r="D226" s="75"/>
      <c r="E226" s="76"/>
      <c r="F226" s="77"/>
      <c r="G226" s="78"/>
      <c r="H226" s="79"/>
      <c r="I226" s="79"/>
      <c r="J226" s="78"/>
      <c r="K226" s="121"/>
      <c r="L226" s="121"/>
      <c r="M226" s="128"/>
      <c r="N226" s="237"/>
      <c r="U226" s="138">
        <f t="shared" si="34"/>
        <v>0</v>
      </c>
      <c r="V226" s="138">
        <f t="shared" si="35"/>
        <v>0</v>
      </c>
    </row>
    <row r="227" spans="1:31" ht="15.75" hidden="1" thickBot="1" x14ac:dyDescent="0.3">
      <c r="A227" s="93" t="s">
        <v>96</v>
      </c>
      <c r="B227" s="94">
        <f>+ROUND(SUMIF(H198:H224,"4/0",V198:V226)*1.015,0)</f>
        <v>0</v>
      </c>
      <c r="C227" s="93" t="s">
        <v>97</v>
      </c>
      <c r="D227" s="94">
        <f>ROUND((SUMIF(H198:H224,"3/0",V198:V226))*1.015,0)</f>
        <v>0</v>
      </c>
      <c r="E227" s="82" t="s">
        <v>95</v>
      </c>
      <c r="F227" s="81">
        <f>ROUND((SUMIF(H198:H224,"2/0",V198:V226))*1.015,0)</f>
        <v>0</v>
      </c>
      <c r="G227" s="80" t="s">
        <v>57</v>
      </c>
      <c r="H227" s="81">
        <f>ROUND((SUMIF(H198:H224,"1/0",V198:V226))*1.015,0)</f>
        <v>131</v>
      </c>
      <c r="I227" s="93" t="s">
        <v>58</v>
      </c>
      <c r="J227" s="94">
        <f>ROUND((SUMIF(H198:H224,"2",V198:V226))*1.015,0)</f>
        <v>0</v>
      </c>
      <c r="K227" s="147"/>
      <c r="L227" s="91"/>
      <c r="M227" s="92"/>
      <c r="N227" s="238"/>
    </row>
    <row r="228" spans="1:31" ht="15.75" hidden="1" thickBot="1" x14ac:dyDescent="0.3">
      <c r="A228" s="119" t="s">
        <v>107</v>
      </c>
      <c r="B228" s="92"/>
      <c r="C228" s="91"/>
      <c r="D228" s="92"/>
      <c r="E228" s="91"/>
      <c r="F228" s="92"/>
      <c r="G228" s="91"/>
      <c r="H228" s="92"/>
      <c r="I228" s="92"/>
      <c r="J228" s="91"/>
      <c r="K228" s="92"/>
      <c r="L228" s="91"/>
      <c r="M228" s="92"/>
      <c r="N228" s="238"/>
    </row>
    <row r="229" spans="1:31" ht="15.75" hidden="1" thickBot="1" x14ac:dyDescent="0.3">
      <c r="A229" s="93" t="s">
        <v>96</v>
      </c>
      <c r="B229" s="94">
        <f>+ROUND(SUMIF(I198:I224,"4/0",U198:U226)*1.015,0)</f>
        <v>0</v>
      </c>
      <c r="C229" s="93" t="s">
        <v>97</v>
      </c>
      <c r="D229" s="94">
        <f>ROUND((SUMIF(I198:I224,"3/0",U198:U226))*1.015,0)</f>
        <v>0</v>
      </c>
      <c r="E229" s="93" t="s">
        <v>95</v>
      </c>
      <c r="F229" s="94">
        <f>ROUND((SUMIF(I198:I224,"2/0",U198:U226))*1.015,0)</f>
        <v>0</v>
      </c>
      <c r="G229" s="93" t="s">
        <v>57</v>
      </c>
      <c r="H229" s="94">
        <f>ROUND((SUMIF(I198:I224,"1/0",U198:U226))*1.015,0)</f>
        <v>131</v>
      </c>
      <c r="I229" s="93" t="s">
        <v>58</v>
      </c>
      <c r="J229" s="94">
        <f>ROUND((SUMIF(I198:I224,"2",U198:U226))*1.015,0)</f>
        <v>0</v>
      </c>
      <c r="L229" s="91"/>
      <c r="M229" s="92"/>
      <c r="N229" s="238"/>
    </row>
    <row r="230" spans="1:31" ht="15.75" hidden="1" thickBot="1" x14ac:dyDescent="0.3">
      <c r="A230" s="239" t="s">
        <v>123</v>
      </c>
      <c r="B230" s="239"/>
      <c r="C230" s="239"/>
      <c r="D230" s="21">
        <f>IF(N185="","",SUM(C198:C224))</f>
        <v>129</v>
      </c>
      <c r="E230" s="28" t="s">
        <v>59</v>
      </c>
      <c r="G230" s="21"/>
      <c r="H230" s="21"/>
      <c r="I230" s="21"/>
      <c r="J230" s="21"/>
      <c r="K230" s="21"/>
      <c r="L230" s="21"/>
      <c r="M230" s="23"/>
      <c r="N230" s="83" t="s">
        <v>80</v>
      </c>
    </row>
    <row r="231" spans="1:31" hidden="1" x14ac:dyDescent="0.25">
      <c r="A231" s="36" t="s">
        <v>60</v>
      </c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1"/>
      <c r="N231" s="84" t="s">
        <v>61</v>
      </c>
    </row>
    <row r="232" spans="1:31" ht="15.75" hidden="1" thickBot="1" x14ac:dyDescent="0.3">
      <c r="A232" s="1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3"/>
      <c r="N232" s="85">
        <f>MAX(N198:N224)</f>
        <v>2.4299999999999997</v>
      </c>
    </row>
    <row r="233" spans="1:31" ht="15.75" hidden="1" thickBot="1" x14ac:dyDescent="0.3"/>
    <row r="234" spans="1:31" ht="15.75" hidden="1" thickBot="1" x14ac:dyDescent="0.3">
      <c r="A234" s="18"/>
      <c r="B234" s="18"/>
      <c r="C234" s="19"/>
      <c r="D234" s="19"/>
      <c r="E234" s="19"/>
      <c r="F234" s="20"/>
      <c r="G234" s="18"/>
      <c r="H234" s="18"/>
      <c r="I234" s="18"/>
      <c r="J234" s="19"/>
      <c r="K234" s="18"/>
      <c r="L234" s="18"/>
      <c r="M234" s="131" t="s">
        <v>122</v>
      </c>
      <c r="N234" s="161" t="s">
        <v>198</v>
      </c>
    </row>
    <row r="235" spans="1:31" ht="18" hidden="1" x14ac:dyDescent="0.25">
      <c r="A235" s="260" t="s">
        <v>62</v>
      </c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</row>
    <row r="236" spans="1:31" ht="18" hidden="1" x14ac:dyDescent="0.25">
      <c r="A236" s="192"/>
      <c r="B236" s="192"/>
      <c r="C236" s="192"/>
      <c r="D236" s="192"/>
      <c r="E236" s="192"/>
      <c r="F236" s="22" t="s">
        <v>111</v>
      </c>
      <c r="G236" s="192"/>
      <c r="H236" s="192"/>
      <c r="I236" s="192"/>
      <c r="J236" s="192"/>
      <c r="K236" s="192"/>
      <c r="L236" s="192"/>
      <c r="M236" s="192"/>
      <c r="N236" s="87"/>
    </row>
    <row r="237" spans="1:31" ht="15.75" hidden="1" x14ac:dyDescent="0.25">
      <c r="A237" s="261" t="s">
        <v>112</v>
      </c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U237" s="138" t="s">
        <v>63</v>
      </c>
      <c r="W237" s="138" t="s">
        <v>24</v>
      </c>
      <c r="Y237" s="138" t="s">
        <v>69</v>
      </c>
      <c r="AA237" s="138" t="s">
        <v>72</v>
      </c>
      <c r="AB237" s="138" t="s">
        <v>77</v>
      </c>
      <c r="AC237" s="138" t="s">
        <v>79</v>
      </c>
      <c r="AD237" s="138" t="s">
        <v>160</v>
      </c>
      <c r="AE237" s="138" t="s">
        <v>166</v>
      </c>
    </row>
    <row r="238" spans="1:31" ht="16.5" hidden="1" thickBot="1" x14ac:dyDescent="0.3">
      <c r="A238" s="24"/>
      <c r="B238" s="18"/>
      <c r="C238" s="19"/>
      <c r="D238" s="19"/>
      <c r="E238" s="19"/>
      <c r="F238" s="20"/>
      <c r="G238" s="20"/>
      <c r="H238" s="18"/>
      <c r="I238" s="18"/>
      <c r="J238" s="18"/>
      <c r="K238" s="19"/>
      <c r="L238" s="18"/>
      <c r="M238" s="18"/>
      <c r="N238" s="23"/>
      <c r="U238" s="138" t="s">
        <v>64</v>
      </c>
      <c r="W238" s="138" t="s">
        <v>82</v>
      </c>
      <c r="Y238" s="138" t="s">
        <v>70</v>
      </c>
      <c r="AA238" s="138" t="s">
        <v>73</v>
      </c>
      <c r="AB238" s="138" t="s">
        <v>29</v>
      </c>
      <c r="AC238" s="139">
        <v>2</v>
      </c>
      <c r="AD238" s="138" t="s">
        <v>161</v>
      </c>
      <c r="AE238" s="138">
        <v>0.65</v>
      </c>
    </row>
    <row r="239" spans="1:31" ht="15.75" hidden="1" thickBot="1" x14ac:dyDescent="0.3">
      <c r="A239" s="25" t="s">
        <v>23</v>
      </c>
      <c r="B239" s="26"/>
      <c r="C239" s="88"/>
      <c r="D239" s="250" t="s">
        <v>64</v>
      </c>
      <c r="E239" s="250"/>
      <c r="F239" s="262" t="s">
        <v>92</v>
      </c>
      <c r="G239" s="263"/>
      <c r="H239" s="264" t="e">
        <f>+H181</f>
        <v>#REF!</v>
      </c>
      <c r="I239" s="265"/>
      <c r="J239" s="266"/>
      <c r="K239" s="267" t="s">
        <v>81</v>
      </c>
      <c r="L239" s="268"/>
      <c r="M239" s="269" t="e">
        <f>+M181</f>
        <v>#REF!</v>
      </c>
      <c r="N239" s="270"/>
      <c r="U239" s="138" t="s">
        <v>65</v>
      </c>
      <c r="W239" s="138" t="s">
        <v>83</v>
      </c>
      <c r="Y239" s="138" t="s">
        <v>7</v>
      </c>
      <c r="AA239" s="138" t="s">
        <v>76</v>
      </c>
      <c r="AB239" s="138" t="s">
        <v>78</v>
      </c>
      <c r="AC239" s="139" t="s">
        <v>0</v>
      </c>
      <c r="AD239" s="138" t="s">
        <v>162</v>
      </c>
      <c r="AE239" s="138">
        <v>0.7</v>
      </c>
    </row>
    <row r="240" spans="1:31" ht="15.75" hidden="1" thickBot="1" x14ac:dyDescent="0.3">
      <c r="A240" s="21"/>
      <c r="B240" s="21"/>
      <c r="C240" s="21"/>
      <c r="D240" s="21"/>
      <c r="E240" s="21"/>
      <c r="F240" s="28"/>
      <c r="G240" s="28"/>
      <c r="H240" s="21"/>
      <c r="I240" s="21"/>
      <c r="J240" s="21"/>
      <c r="K240" s="21"/>
      <c r="L240" s="21"/>
      <c r="M240" s="21"/>
      <c r="N240" s="23"/>
      <c r="U240" s="138" t="s">
        <v>66</v>
      </c>
      <c r="W240" s="138" t="s">
        <v>68</v>
      </c>
      <c r="Y240" s="138" t="s">
        <v>27</v>
      </c>
      <c r="AA240" s="138" t="s">
        <v>74</v>
      </c>
      <c r="AC240" s="139" t="s">
        <v>1</v>
      </c>
      <c r="AD240" s="138" t="s">
        <v>163</v>
      </c>
      <c r="AE240" s="138">
        <v>0.8</v>
      </c>
    </row>
    <row r="241" spans="1:31" ht="15.75" hidden="1" thickBot="1" x14ac:dyDescent="0.3">
      <c r="A241" s="25" t="s">
        <v>24</v>
      </c>
      <c r="B241" s="26"/>
      <c r="C241" s="26"/>
      <c r="D241" s="249" t="s">
        <v>68</v>
      </c>
      <c r="E241" s="250"/>
      <c r="F241" s="251"/>
      <c r="G241" s="26"/>
      <c r="H241" s="29"/>
      <c r="I241" s="29"/>
      <c r="J241" s="26"/>
      <c r="K241" s="26"/>
      <c r="L241" s="26" t="s">
        <v>164</v>
      </c>
      <c r="M241" s="26"/>
      <c r="N241" s="211" t="s">
        <v>163</v>
      </c>
      <c r="U241" s="138" t="s">
        <v>67</v>
      </c>
      <c r="Y241" s="138" t="s">
        <v>9</v>
      </c>
      <c r="AA241" s="138" t="s">
        <v>75</v>
      </c>
      <c r="AC241" s="139" t="s">
        <v>2</v>
      </c>
      <c r="AE241" s="138">
        <v>0.9</v>
      </c>
    </row>
    <row r="242" spans="1:31" ht="15.75" hidden="1" thickBot="1" x14ac:dyDescent="0.3">
      <c r="A242" s="23" t="s">
        <v>25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 t="s">
        <v>168</v>
      </c>
      <c r="L242" s="208"/>
      <c r="M242" s="23"/>
      <c r="N242" s="43" t="str">
        <f>IF(N243="","",IF(N243="3F","220 / 127 V","240 / 120 V"))</f>
        <v>220 / 127 V</v>
      </c>
      <c r="AC242" s="141" t="s">
        <v>3</v>
      </c>
      <c r="AE242" s="138">
        <v>1</v>
      </c>
    </row>
    <row r="243" spans="1:31" ht="15.75" hidden="1" thickBot="1" x14ac:dyDescent="0.3">
      <c r="A243" s="30" t="s">
        <v>26</v>
      </c>
      <c r="B243" s="18"/>
      <c r="C243" s="23"/>
      <c r="D243" s="252" t="s">
        <v>70</v>
      </c>
      <c r="E243" s="253"/>
      <c r="F243" s="18"/>
      <c r="G243" s="18"/>
      <c r="H243" s="18"/>
      <c r="I243" s="18"/>
      <c r="J243" s="18"/>
      <c r="K243" s="23"/>
      <c r="L243" s="18" t="s">
        <v>169</v>
      </c>
      <c r="M243" s="18"/>
      <c r="N243" s="151" t="s">
        <v>78</v>
      </c>
      <c r="U243" s="138" t="s">
        <v>64</v>
      </c>
      <c r="W243" s="138" t="s">
        <v>29</v>
      </c>
      <c r="X243" s="138" t="s">
        <v>78</v>
      </c>
    </row>
    <row r="244" spans="1:31" ht="15.75" hidden="1" thickBot="1" x14ac:dyDescent="0.3">
      <c r="A244" s="23"/>
      <c r="B244" s="31"/>
      <c r="C244" s="23"/>
      <c r="D244" s="19"/>
      <c r="E244" s="32"/>
      <c r="F244" s="32"/>
      <c r="G244" s="20"/>
      <c r="H244" s="20"/>
      <c r="I244" s="20"/>
      <c r="J244" s="33"/>
      <c r="K244" s="21" t="s">
        <v>165</v>
      </c>
      <c r="L244" s="35"/>
      <c r="M244" s="18"/>
      <c r="N244" s="209">
        <v>0.8</v>
      </c>
      <c r="U244" s="138" t="s">
        <v>84</v>
      </c>
      <c r="W244" s="138">
        <v>10</v>
      </c>
      <c r="X244" s="138">
        <v>30</v>
      </c>
    </row>
    <row r="245" spans="1:31" ht="15.75" hidden="1" thickBot="1" x14ac:dyDescent="0.3">
      <c r="A245" s="36" t="s">
        <v>71</v>
      </c>
      <c r="B245" s="37"/>
      <c r="C245" s="37"/>
      <c r="D245" s="150" t="s">
        <v>74</v>
      </c>
      <c r="E245" s="38"/>
      <c r="F245" s="39"/>
      <c r="G245" s="39"/>
      <c r="H245" s="39"/>
      <c r="I245" s="39"/>
      <c r="J245" s="37"/>
      <c r="K245" s="36"/>
      <c r="L245" s="37"/>
      <c r="M245" s="89" t="s">
        <v>30</v>
      </c>
      <c r="N245" s="190" t="s">
        <v>138</v>
      </c>
      <c r="U245" s="138" t="s">
        <v>85</v>
      </c>
      <c r="W245" s="138">
        <v>15</v>
      </c>
      <c r="X245" s="138">
        <v>50</v>
      </c>
    </row>
    <row r="246" spans="1:31" ht="15.75" hidden="1" thickBot="1" x14ac:dyDescent="0.3">
      <c r="A246" s="41" t="s">
        <v>31</v>
      </c>
      <c r="B246" s="21"/>
      <c r="C246" s="21"/>
      <c r="D246" s="150">
        <v>12</v>
      </c>
      <c r="E246" s="21"/>
      <c r="F246" s="28"/>
      <c r="G246" s="42" t="s">
        <v>32</v>
      </c>
      <c r="H246" s="254" t="e">
        <f>+H188</f>
        <v>#REF!</v>
      </c>
      <c r="I246" s="255"/>
      <c r="J246" s="255"/>
      <c r="K246" s="41"/>
      <c r="L246" s="21"/>
      <c r="M246" s="115" t="s">
        <v>93</v>
      </c>
      <c r="N246" s="210">
        <f>+N247/N244</f>
        <v>52.580305130986495</v>
      </c>
      <c r="U246" s="138" t="s">
        <v>86</v>
      </c>
      <c r="W246" s="138">
        <v>25</v>
      </c>
      <c r="X246" s="138">
        <v>75</v>
      </c>
    </row>
    <row r="247" spans="1:31" ht="15.75" hidden="1" thickBot="1" x14ac:dyDescent="0.3">
      <c r="A247" s="41" t="s">
        <v>34</v>
      </c>
      <c r="B247" s="21"/>
      <c r="C247" s="21"/>
      <c r="D247" s="162">
        <v>440</v>
      </c>
      <c r="E247" s="41"/>
      <c r="F247" s="28"/>
      <c r="G247" s="42" t="s">
        <v>35</v>
      </c>
      <c r="H247" s="256" t="e">
        <f>+H189</f>
        <v>#REF!</v>
      </c>
      <c r="I247" s="257"/>
      <c r="J247" s="257"/>
      <c r="K247" s="41"/>
      <c r="L247" s="21"/>
      <c r="M247" s="115" t="s">
        <v>167</v>
      </c>
      <c r="N247" s="116">
        <f>IF($N$241="","",IF($N$241="INDUSTRIAL",IF(OR(D239="",D245="",D246=""),"",(IF(OR(D239="SAN CRISTOBAL",D239="FLOREANA"),VLOOKUP(D246,'Estratos SCY - FLO'!$A$4:$M$108,IF(D245="A1",2,IF(D245="A",5,IF(D245="B",8,11))),0),VLOOKUP(D246,'Estratos SCX - ISA'!$A$4:$M$108,IF(D245="A1",2,IF(D245="A",5,IF(D245="B",8,11))),0))+D247/920)*N244),IF(OR(D239="",D245="",D246=""),"",(IF(OR(D239="SAN CRISTOBAL",D239="FLOREANA"),VLOOKUP(D246,'Estratos SCY - FLO'!$O$4:$S$108,IF(D245="A1",2,IF(D245="A",3,IF(D245="B",4,5))),0),VLOOKUP(D246,'Estratos SCX - ISA'!$O$4:$S$108,IF(D245="A1",2,IF(D245="A",3,IF(D245="B",4,5))),0))+D247/920)*N244)))</f>
        <v>42.064244104789196</v>
      </c>
      <c r="U247" s="138" t="s">
        <v>87</v>
      </c>
      <c r="W247" s="138">
        <v>37.5</v>
      </c>
      <c r="X247" s="138">
        <v>100</v>
      </c>
    </row>
    <row r="248" spans="1:31" ht="42" hidden="1" customHeight="1" thickBot="1" x14ac:dyDescent="0.3">
      <c r="A248" s="258" t="str">
        <f>+IF(OR(N241="INDUSTRIAL"),"NOTA: Estratos:  A1 (Consumo-Alto); A (Consumo-Medio); B(Consumo-Bajo); C(Consumo-Mínimo)",IF(N241="","","NOTA: Estratos:  A1 (Casco Urbano-Sector hotelero);A (Barrios Centricos); B(Zona Periferica); C(Zona Rural)"))</f>
        <v>NOTA: Estratos:  A1 (Consumo-Alto); A (Consumo-Medio); B(Consumo-Bajo); C(Consumo-Mínimo)</v>
      </c>
      <c r="B248" s="259"/>
      <c r="C248" s="259"/>
      <c r="D248" s="259"/>
      <c r="E248" s="259"/>
      <c r="F248" s="259"/>
      <c r="G248" s="259"/>
      <c r="H248" s="259"/>
      <c r="I248" s="259"/>
      <c r="J248" s="259"/>
      <c r="K248" s="44"/>
      <c r="L248" s="34"/>
      <c r="M248" s="130" t="str">
        <f>+IF(OR(N243="",D245="",D246=""),"","POT. NOMINAL TRAFO. (KVA):")</f>
        <v>POT. NOMINAL TRAFO. (KVA):</v>
      </c>
      <c r="N248" s="117">
        <f>IF(OR(N243="",N244="",N244=0),"",IF(N243="1F",IF(N247&lt;$W$11,$W$11,IF(AND(N247&gt;$W$11,N247&lt;$W$12),$W$12,IF(AND(N247&gt;$W$12,N247&lt;$W$13),$W$13,IF(AND(N247&gt;$W$13,N247&lt;$W$14),$W$14,IF(AND(N247&gt;$W$14,N247&lt;$W$15),$W$15,IF(AND(N247&gt;$W$15,N247&lt;$W$16),$W$16,IF(AND(N247&gt;$W$16,N247&lt;$W$17),$W$17,IF(AND(N247&gt;$W$17,N247&lt;$W$18),$W$18,IF(AND(N247&gt;$W$18,N247&lt;$W$19),$W$19,""))))))))),IF($N$247&lt;$X$11,$X$11,IF(AND(N247&gt;$X$11,N247&lt;$X$12),$X$12,IF(AND(N247&gt;$X$12,N247&lt;$X$13),$X$13,IF(AND(N247&gt;$X$13,N247&lt;$X$14),$X$14,IF(AND(N247&gt;$X$14,N247&lt;$X$15),$X$15,IF(AND(N247&gt;$X$15,N247&lt;$X$16),$X$16,IF(AND(N247&gt;$X$16,N247&lt;$X$17),$X$17,"")))))))))</f>
        <v>50</v>
      </c>
      <c r="U248" s="138" t="s">
        <v>88</v>
      </c>
      <c r="W248" s="138">
        <v>50</v>
      </c>
      <c r="X248" s="138">
        <v>125</v>
      </c>
    </row>
    <row r="249" spans="1:31" ht="15.75" hidden="1" thickBot="1" x14ac:dyDescent="0.3">
      <c r="A249" s="21"/>
      <c r="B249" s="21"/>
      <c r="C249" s="21"/>
      <c r="D249" s="21"/>
      <c r="E249" s="21"/>
      <c r="F249" s="28"/>
      <c r="G249" s="28"/>
      <c r="H249" s="21"/>
      <c r="I249" s="21"/>
      <c r="J249" s="21"/>
      <c r="K249" s="21"/>
      <c r="L249" s="21"/>
      <c r="M249" s="21"/>
      <c r="N249" s="23"/>
      <c r="U249" s="138" t="s">
        <v>89</v>
      </c>
      <c r="W249" s="138">
        <v>75</v>
      </c>
      <c r="X249" s="138">
        <v>150</v>
      </c>
    </row>
    <row r="250" spans="1:31" ht="19.5" hidden="1" thickBot="1" x14ac:dyDescent="0.3">
      <c r="A250" s="46" t="s">
        <v>36</v>
      </c>
      <c r="B250" s="47"/>
      <c r="C250" s="47"/>
      <c r="D250" s="48" t="s">
        <v>37</v>
      </c>
      <c r="E250" s="49"/>
      <c r="F250" s="50"/>
      <c r="G250" s="50"/>
      <c r="H250" s="37"/>
      <c r="I250" s="37"/>
      <c r="J250" s="37"/>
      <c r="K250" s="37"/>
      <c r="L250" s="37"/>
      <c r="M250" s="37"/>
      <c r="N250" s="40"/>
      <c r="U250" s="138" t="s">
        <v>90</v>
      </c>
      <c r="W250" s="138">
        <v>100</v>
      </c>
      <c r="X250" s="138">
        <v>200</v>
      </c>
    </row>
    <row r="251" spans="1:31" ht="15.75" hidden="1" thickBot="1" x14ac:dyDescent="0.3">
      <c r="A251" s="41"/>
      <c r="B251" s="21"/>
      <c r="C251" s="21"/>
      <c r="D251" s="21"/>
      <c r="E251" s="21"/>
      <c r="F251" s="28"/>
      <c r="G251" s="28"/>
      <c r="H251" s="21"/>
      <c r="I251" s="21"/>
      <c r="J251" s="21"/>
      <c r="K251" s="21"/>
      <c r="L251" s="21" t="s">
        <v>186</v>
      </c>
      <c r="M251" s="21"/>
      <c r="N251" s="163"/>
      <c r="U251" s="138" t="s">
        <v>91</v>
      </c>
      <c r="W251" s="138">
        <v>112.5</v>
      </c>
    </row>
    <row r="252" spans="1:31" ht="15.75" hidden="1" thickBot="1" x14ac:dyDescent="0.3">
      <c r="A252" s="44"/>
      <c r="B252" s="34"/>
      <c r="C252" s="34"/>
      <c r="D252" s="34"/>
      <c r="E252" s="34"/>
      <c r="F252" s="45"/>
      <c r="G252" s="45"/>
      <c r="H252" s="34"/>
      <c r="I252" s="34"/>
      <c r="J252" s="34"/>
      <c r="K252" s="34"/>
      <c r="L252" s="113" t="s">
        <v>102</v>
      </c>
      <c r="M252" s="142"/>
      <c r="N252" s="163" t="s">
        <v>141</v>
      </c>
      <c r="W252" s="138">
        <v>125</v>
      </c>
    </row>
    <row r="253" spans="1:31" ht="15.75" hidden="1" thickBot="1" x14ac:dyDescent="0.3">
      <c r="A253" s="21"/>
      <c r="B253" s="21"/>
      <c r="C253" s="21"/>
      <c r="D253" s="21"/>
      <c r="E253" s="21"/>
      <c r="F253" s="28"/>
      <c r="G253" s="28"/>
      <c r="H253" s="21"/>
      <c r="I253" s="21"/>
      <c r="J253" s="21"/>
      <c r="K253" s="21"/>
      <c r="L253" s="21"/>
      <c r="M253" s="21"/>
      <c r="N253" s="23"/>
    </row>
    <row r="254" spans="1:31" ht="15.75" hidden="1" customHeight="1" thickBot="1" x14ac:dyDescent="0.3">
      <c r="A254" s="244" t="s">
        <v>38</v>
      </c>
      <c r="B254" s="245"/>
      <c r="C254" s="52" t="s">
        <v>39</v>
      </c>
      <c r="D254" s="52" t="s">
        <v>40</v>
      </c>
      <c r="E254" s="53" t="s">
        <v>41</v>
      </c>
      <c r="F254" s="53" t="s">
        <v>42</v>
      </c>
      <c r="G254" s="244" t="s">
        <v>43</v>
      </c>
      <c r="H254" s="246"/>
      <c r="I254" s="246"/>
      <c r="J254" s="245"/>
      <c r="K254" s="247" t="s">
        <v>44</v>
      </c>
      <c r="L254" s="246" t="s">
        <v>45</v>
      </c>
      <c r="M254" s="246"/>
      <c r="N254" s="245"/>
      <c r="U254" s="236" t="s">
        <v>98</v>
      </c>
      <c r="V254" s="236" t="s">
        <v>99</v>
      </c>
    </row>
    <row r="255" spans="1:31" ht="15.75" hidden="1" thickBot="1" x14ac:dyDescent="0.3">
      <c r="A255" s="52" t="s">
        <v>46</v>
      </c>
      <c r="B255" s="52" t="s">
        <v>47</v>
      </c>
      <c r="C255" s="54" t="s">
        <v>48</v>
      </c>
      <c r="D255" s="54" t="s">
        <v>49</v>
      </c>
      <c r="E255" s="55" t="s">
        <v>50</v>
      </c>
      <c r="F255" s="55" t="s">
        <v>51</v>
      </c>
      <c r="G255" s="56" t="s">
        <v>52</v>
      </c>
      <c r="H255" s="43" t="s">
        <v>105</v>
      </c>
      <c r="I255" s="124" t="s">
        <v>106</v>
      </c>
      <c r="J255" s="43" t="s">
        <v>53</v>
      </c>
      <c r="K255" s="248"/>
      <c r="L255" s="53" t="s">
        <v>54</v>
      </c>
      <c r="M255" s="43" t="s">
        <v>55</v>
      </c>
      <c r="N255" s="57" t="s">
        <v>56</v>
      </c>
      <c r="U255" s="236"/>
      <c r="V255" s="236"/>
    </row>
    <row r="256" spans="1:31" hidden="1" x14ac:dyDescent="0.25">
      <c r="A256" s="191" t="str">
        <f>IF(N252="","",N252)</f>
        <v>P32</v>
      </c>
      <c r="B256" s="164" t="s">
        <v>139</v>
      </c>
      <c r="C256" s="165">
        <v>30</v>
      </c>
      <c r="D256" s="165">
        <v>6</v>
      </c>
      <c r="E256" s="166">
        <v>110</v>
      </c>
      <c r="F256" s="193">
        <f>IF($N$241="","",IF($N$241="INDUSTRIAL",IF(OR($D$239="",$D$245=""),"",IF(OR(D256&gt;$D$246,E256&gt;$D$247),"Rev. Total. abona.",IF(D256="",IF(E256="","",E256/(0.92*1000)),IF(OR($D$239="SAN CRISTOBAL",$D$239="FLOREANA"),VLOOKUP(D256,'Estratos SCY - FLO'!$A$4:$M$108,IF($D$245="A1",2,IF($D$245="A",5,IF($D$245="B",8,11))))+E256/(0.92*1000),VLOOKUP(D256,'Estratos SCX - ISA'!$A$3:$M$107,IF($D$245="A1",2,IF($D$245="A",5,IF($D$245="B",8,11))))+E256/(0.92*1000))))),IF(OR($D$239="",$D$245=""),"",IF(OR(D256&gt;$D$246,E256&gt;$D$247),"Rev. Total. abona.",IF(D256="",IF(E256="","",E256/(0.92*1000)),IF(OR($D$239="SAN CRISTOBAL",$D$239="FLOREANA"),VLOOKUP(D256,'Estratos SCY - FLO'!$O$4:$S$108,IF($D$245="A1",2,IF($D$245="A",3,IF($D$245="B",4,5))))+E256/(0.92*1000),VLOOKUP(D256,'Estratos SCX - ISA'!$O$4:$S$108,IF($D$245="A1",2,IF($D$245="A",3,IF($D$245="B",4,5))))+E256/(0.92*1000)))))))</f>
        <v>27.847496395752309</v>
      </c>
      <c r="G256" s="95">
        <f>IF(OR($N$10="",C256=""),"",IF($N$10="1F",1,3))</f>
        <v>1</v>
      </c>
      <c r="H256" s="182" t="s">
        <v>0</v>
      </c>
      <c r="I256" s="182" t="s">
        <v>0</v>
      </c>
      <c r="J256" s="95">
        <f>IF(OR(H256="",$D$10="",$N$10=""),"",IF($D$10="COBRE",VLOOKUP(CDV_PROY_BT!H256,FDV!$B$16:$E$24,IF(CDV_PROY_BT!$N$10="3F",3,4),FALSE),IF($D$10="ACS",VLOOKUP(CDV_PROY_BT!H256,FDV!$B$10:$E$15,IF(CDV_PROY_BT!$N$10="3F",3,4),FALSE),IF($D$10="5005 (PREENSAMBLADO)",VLOOKUP(CDV_PROY_BT!H256,FDV!$B$4:$E$9,IF(CDV_PROY_BT!$N$10="3F",3,4),FALSE),VLOOKUP(CDV_PROY_BT!H256,FDV!$B$25:$E$30,IF(CDV_PROY_BT!$N$10="3F",3,4),FALSE)))))</f>
        <v>412</v>
      </c>
      <c r="K256" s="60">
        <f t="shared" ref="K256:K283" si="36">IF(C256="","",ROUND(F256*C256,0))</f>
        <v>835</v>
      </c>
      <c r="L256" s="61">
        <f>IF($N$19="","",IF(C256="","",ROUND(K256/J256,2)))</f>
        <v>2.0299999999999998</v>
      </c>
      <c r="M256" s="61">
        <f>IF(C256="","",VLOOKUP(A256,$B$256:$N$283,12,FALSE)+L256+N251)</f>
        <v>2.0299999999999998</v>
      </c>
      <c r="N256" s="154">
        <f>+M256</f>
        <v>2.0299999999999998</v>
      </c>
      <c r="U256" s="138">
        <f t="shared" ref="U256:U282" si="37">+IF(C256="",0,C256)</f>
        <v>30</v>
      </c>
      <c r="V256" s="138">
        <f t="shared" ref="V256:V282" si="38">IF(OR(C256="",G256=""),0,C256*G256)</f>
        <v>30</v>
      </c>
    </row>
    <row r="257" spans="1:22" hidden="1" x14ac:dyDescent="0.25">
      <c r="A257" s="167" t="s">
        <v>141</v>
      </c>
      <c r="B257" s="168" t="s">
        <v>142</v>
      </c>
      <c r="C257" s="169">
        <v>30</v>
      </c>
      <c r="D257" s="169">
        <v>3</v>
      </c>
      <c r="E257" s="170">
        <v>220</v>
      </c>
      <c r="F257" s="62">
        <f>IF($N$241="","",IF($N$241="INDUSTRIAL",IF(OR($D$239="",$D$245=""),"",IF(OR(D257&gt;$D$246,E257&gt;$D$247),"Rev. Total. abona.",IF(D257="",IF(E257="","",E257/(0.92*1000)),IF(OR($D$239="SAN CRISTOBAL",$D$239="FLOREANA"),VLOOKUP(D257,'Estratos SCY - FLO'!$A$4:$M$108,IF($D$245="A1",2,IF($D$245="A",5,IF($D$245="B",8,11))))+E257/(0.92*1000),VLOOKUP(D257,'Estratos SCX - ISA'!$A$3:$M$107,IF($D$245="A1",2,IF($D$245="A",5,IF($D$245="B",8,11))))+E257/(0.92*1000))))),IF(OR($D$239="",$D$245=""),"",IF(OR(D257&gt;$D$246,E257&gt;$D$247),"Rev. Total. abona.",IF(D257="",IF(E257="","",E257/(0.92*1000)),IF(OR($D$239="SAN CRISTOBAL",$D$239="FLOREANA"),VLOOKUP(D257,'Estratos SCY - FLO'!$O$4:$S$108,IF($D$245="A1",2,IF($D$245="A",3,IF($D$245="B",4,5))))+E257/(0.92*1000),VLOOKUP(D257,'Estratos SCX - ISA'!$O$4:$S$108,IF($D$245="A1",2,IF($D$245="A",3,IF($D$245="B",4,5))))+E257/(0.92*1000)))))))</f>
        <v>14.995522018465765</v>
      </c>
      <c r="G257" s="59">
        <f t="shared" ref="G257:G283" si="39">IF(OR($N$10="",C257=""),"",IF($N$10="1F",1,3))</f>
        <v>1</v>
      </c>
      <c r="H257" s="183" t="s">
        <v>0</v>
      </c>
      <c r="I257" s="183" t="s">
        <v>0</v>
      </c>
      <c r="J257" s="59">
        <f>IF(OR(H257="",$D$10="",$N$10=""),"",IF($D$10="COBRE",VLOOKUP(CDV_PROY_BT!H257,FDV!$B$16:$E$24,IF(CDV_PROY_BT!$N$10="3F",3,4),FALSE),IF($D$10="ACS",VLOOKUP(CDV_PROY_BT!H257,FDV!$B$10:$E$15,IF(CDV_PROY_BT!$N$10="3F",3,4),FALSE),IF($D$10="5005 (PREENSAMBLADO)",VLOOKUP(CDV_PROY_BT!H257,FDV!$B$4:$E$9,IF(CDV_PROY_BT!$N$10="3F",3,4),FALSE),VLOOKUP(CDV_PROY_BT!H257,FDV!$B$25:$E$30,IF(CDV_PROY_BT!$N$10="3F",3,4),FALSE)))))</f>
        <v>412</v>
      </c>
      <c r="K257" s="63">
        <f t="shared" si="36"/>
        <v>450</v>
      </c>
      <c r="L257" s="62">
        <f t="shared" ref="L257:L282" si="40">IF($N$19="","",IF(C257="","",ROUND(K257/J257,2)))</f>
        <v>1.0900000000000001</v>
      </c>
      <c r="M257" s="62">
        <f t="shared" ref="M257:M282" si="41">IF(C257="","",VLOOKUP(A257,$B$256:$N$283,12,FALSE)+L257)</f>
        <v>1.0900000000000001</v>
      </c>
      <c r="N257" s="155"/>
      <c r="U257" s="138">
        <f t="shared" si="37"/>
        <v>30</v>
      </c>
      <c r="V257" s="138">
        <f t="shared" si="38"/>
        <v>30</v>
      </c>
    </row>
    <row r="258" spans="1:22" hidden="1" x14ac:dyDescent="0.25">
      <c r="A258" s="167" t="s">
        <v>142</v>
      </c>
      <c r="B258" s="168" t="s">
        <v>153</v>
      </c>
      <c r="C258" s="169">
        <v>32</v>
      </c>
      <c r="D258" s="169"/>
      <c r="E258" s="170">
        <v>110</v>
      </c>
      <c r="F258" s="58">
        <f>IF($N$241="","",IF($N$241="INDUSTRIAL",IF(OR($D$239="",$D$245=""),"",IF(OR(D258&gt;$D$246,E258&gt;$D$247),"Rev. Total. abona.",IF(D258="",IF(E258="","",E258/(0.92*1000)),IF(OR($D$239="SAN CRISTOBAL",$D$239="FLOREANA"),VLOOKUP(D258,'Estratos SCY - FLO'!$A$4:$M$108,IF($D$245="A1",2,IF($D$245="A",5,IF($D$245="B",8,11))))+E258/(0.92*1000),VLOOKUP(D258,'Estratos SCX - ISA'!$A$3:$M$107,IF($D$245="A1",2,IF($D$245="A",5,IF($D$245="B",8,11))))+E258/(0.92*1000))))),IF(OR($D$239="",$D$245=""),"",IF(OR(D258&gt;$D$246,E258&gt;$D$247),"Rev. Total. abona.",IF(D258="",IF(E258="","",E258/(0.92*1000)),IF(OR($D$239="SAN CRISTOBAL",$D$239="FLOREANA"),VLOOKUP(D258,'Estratos SCY - FLO'!$O$4:$S$108,IF($D$245="A1",2,IF($D$245="A",3,IF($D$245="B",4,5))))+E258/(0.92*1000),VLOOKUP(D258,'Estratos SCX - ISA'!$O$4:$S$108,IF($D$245="A1",2,IF($D$245="A",3,IF($D$245="B",4,5))))+E258/(0.92*1000)))))))</f>
        <v>0.11956521739130435</v>
      </c>
      <c r="G258" s="59">
        <f t="shared" si="39"/>
        <v>1</v>
      </c>
      <c r="H258" s="183" t="s">
        <v>0</v>
      </c>
      <c r="I258" s="183" t="s">
        <v>0</v>
      </c>
      <c r="J258" s="59">
        <f>IF(OR(H258="",$D$10="",$N$10=""),"",IF($D$10="COBRE",VLOOKUP(CDV_PROY_BT!H258,FDV!$B$16:$E$24,IF(CDV_PROY_BT!$N$10="3F",3,4),FALSE),IF($D$10="ACS",VLOOKUP(CDV_PROY_BT!H258,FDV!$B$10:$E$15,IF(CDV_PROY_BT!$N$10="3F",3,4),FALSE),IF($D$10="5005 (PREENSAMBLADO)",VLOOKUP(CDV_PROY_BT!H258,FDV!$B$4:$E$9,IF(CDV_PROY_BT!$N$10="3F",3,4),FALSE),VLOOKUP(CDV_PROY_BT!H258,FDV!$B$25:$E$30,IF(CDV_PROY_BT!$N$10="3F",3,4),FALSE)))))</f>
        <v>412</v>
      </c>
      <c r="K258" s="63">
        <f t="shared" si="36"/>
        <v>4</v>
      </c>
      <c r="L258" s="62">
        <f t="shared" si="40"/>
        <v>0.01</v>
      </c>
      <c r="M258" s="62">
        <f t="shared" si="41"/>
        <v>1.1000000000000001</v>
      </c>
      <c r="N258" s="155">
        <f>+M258</f>
        <v>1.1000000000000001</v>
      </c>
      <c r="U258" s="138">
        <f t="shared" si="37"/>
        <v>32</v>
      </c>
      <c r="V258" s="138">
        <f t="shared" si="38"/>
        <v>32</v>
      </c>
    </row>
    <row r="259" spans="1:22" hidden="1" x14ac:dyDescent="0.25">
      <c r="A259" s="167"/>
      <c r="B259" s="168"/>
      <c r="C259" s="169"/>
      <c r="D259" s="169"/>
      <c r="E259" s="170"/>
      <c r="F259" s="58" t="str">
        <f>IF($N$241="","",IF($N$241="INDUSTRIAL",IF(OR($D$239="",$D$245=""),"",IF(OR(D259&gt;$D$246,E259&gt;$D$247),"Rev. Total. abona.",IF(D259="",IF(E259="","",E259/(0.92*1000)),IF(OR($D$239="SAN CRISTOBAL",$D$239="FLOREANA"),VLOOKUP(D259,'Estratos SCY - FLO'!$A$4:$M$108,IF($D$245="A1",2,IF($D$245="A",5,IF($D$245="B",8,11))))+E259/(0.92*1000),VLOOKUP(D259,'Estratos SCX - ISA'!$A$3:$M$107,IF($D$245="A1",2,IF($D$245="A",5,IF($D$245="B",8,11))))+E259/(0.92*1000))))),IF(OR($D$239="",$D$245=""),"",IF(OR(D259&gt;$D$246,E259&gt;$D$247),"Rev. Total. abona.",IF(D259="",IF(E259="","",E259/(0.92*1000)),IF(OR($D$239="SAN CRISTOBAL",$D$239="FLOREANA"),VLOOKUP(D259,'Estratos SCY - FLO'!$O$4:$S$108,IF($D$245="A1",2,IF($D$245="A",3,IF($D$245="B",4,5))))+E259/(0.92*1000),VLOOKUP(D259,'Estratos SCX - ISA'!$O$4:$S$108,IF($D$245="A1",2,IF($D$245="A",3,IF($D$245="B",4,5))))+E259/(0.92*1000)))))))</f>
        <v/>
      </c>
      <c r="G259" s="59" t="str">
        <f t="shared" si="39"/>
        <v/>
      </c>
      <c r="H259" s="183"/>
      <c r="I259" s="183"/>
      <c r="J259" s="59" t="str">
        <f>IF(OR(H259="",$D$10="",$N$10=""),"",IF($D$10="COBRE",VLOOKUP(CDV_PROY_BT!H259,FDV!$B$16:$E$24,IF(CDV_PROY_BT!$N$10="3F",3,4),FALSE),IF($D$10="ACS",VLOOKUP(CDV_PROY_BT!H259,FDV!$B$10:$E$15,IF(CDV_PROY_BT!$N$10="3F",3,4),FALSE),IF($D$10="5005 (PREENSAMBLADO)",VLOOKUP(CDV_PROY_BT!H259,FDV!$B$4:$E$9,IF(CDV_PROY_BT!$N$10="3F",3,4),FALSE),VLOOKUP(CDV_PROY_BT!H259,FDV!$B$25:$E$30,IF(CDV_PROY_BT!$N$10="3F",3,4),FALSE)))))</f>
        <v/>
      </c>
      <c r="K259" s="63" t="str">
        <f t="shared" si="36"/>
        <v/>
      </c>
      <c r="L259" s="62" t="str">
        <f t="shared" si="40"/>
        <v/>
      </c>
      <c r="M259" s="62" t="str">
        <f t="shared" si="41"/>
        <v/>
      </c>
      <c r="N259" s="155"/>
      <c r="U259" s="138">
        <f t="shared" si="37"/>
        <v>0</v>
      </c>
      <c r="V259" s="138">
        <f t="shared" si="38"/>
        <v>0</v>
      </c>
    </row>
    <row r="260" spans="1:22" hidden="1" x14ac:dyDescent="0.25">
      <c r="A260" s="167"/>
      <c r="B260" s="168"/>
      <c r="C260" s="169"/>
      <c r="D260" s="169"/>
      <c r="E260" s="170"/>
      <c r="F260" s="58" t="str">
        <f>IF($N$241="","",IF($N$241="INDUSTRIAL",IF(OR($D$239="",$D$245=""),"",IF(OR(D260&gt;$D$246,E260&gt;$D$247),"Rev. Total. abona.",IF(D260="",IF(E260="","",E260/(0.92*1000)),IF(OR($D$239="SAN CRISTOBAL",$D$239="FLOREANA"),VLOOKUP(D260,'Estratos SCY - FLO'!$A$4:$M$108,IF($D$245="A1",2,IF($D$245="A",5,IF($D$245="B",8,11))))+E260/(0.92*1000),VLOOKUP(D260,'Estratos SCX - ISA'!$A$3:$M$107,IF($D$245="A1",2,IF($D$245="A",5,IF($D$245="B",8,11))))+E260/(0.92*1000))))),IF(OR($D$239="",$D$245=""),"",IF(OR(D260&gt;$D$246,E260&gt;$D$247),"Rev. Total. abona.",IF(D260="",IF(E260="","",E260/(0.92*1000)),IF(OR($D$239="SAN CRISTOBAL",$D$239="FLOREANA"),VLOOKUP(D260,'Estratos SCY - FLO'!$O$4:$S$108,IF($D$245="A1",2,IF($D$245="A",3,IF($D$245="B",4,5))))+E260/(0.92*1000),VLOOKUP(D260,'Estratos SCX - ISA'!$O$4:$S$108,IF($D$245="A1",2,IF($D$245="A",3,IF($D$245="B",4,5))))+E260/(0.92*1000)))))))</f>
        <v/>
      </c>
      <c r="G260" s="59" t="str">
        <f t="shared" si="39"/>
        <v/>
      </c>
      <c r="H260" s="183"/>
      <c r="I260" s="183"/>
      <c r="J260" s="59" t="str">
        <f>IF(OR(H260="",$D$10="",$N$10=""),"",IF($D$10="COBRE",VLOOKUP(CDV_PROY_BT!H260,FDV!$B$16:$E$24,IF(CDV_PROY_BT!$N$10="3F",3,4),FALSE),IF($D$10="ACS",VLOOKUP(CDV_PROY_BT!H260,FDV!$B$10:$E$15,IF(CDV_PROY_BT!$N$10="3F",3,4),FALSE),IF($D$10="5005 (PREENSAMBLADO)",VLOOKUP(CDV_PROY_BT!H260,FDV!$B$4:$E$9,IF(CDV_PROY_BT!$N$10="3F",3,4),FALSE),VLOOKUP(CDV_PROY_BT!H260,FDV!$B$25:$E$30,IF(CDV_PROY_BT!$N$10="3F",3,4),FALSE)))))</f>
        <v/>
      </c>
      <c r="K260" s="63" t="str">
        <f t="shared" si="36"/>
        <v/>
      </c>
      <c r="L260" s="62" t="str">
        <f t="shared" si="40"/>
        <v/>
      </c>
      <c r="M260" s="62" t="str">
        <f t="shared" si="41"/>
        <v/>
      </c>
      <c r="N260" s="155"/>
      <c r="U260" s="138">
        <f t="shared" si="37"/>
        <v>0</v>
      </c>
      <c r="V260" s="138">
        <f t="shared" si="38"/>
        <v>0</v>
      </c>
    </row>
    <row r="261" spans="1:22" hidden="1" x14ac:dyDescent="0.25">
      <c r="A261" s="167"/>
      <c r="B261" s="168"/>
      <c r="C261" s="169"/>
      <c r="D261" s="169"/>
      <c r="E261" s="170"/>
      <c r="F261" s="58" t="str">
        <f>IF($N$241="","",IF($N$241="INDUSTRIAL",IF(OR($D$239="",$D$245=""),"",IF(OR(D261&gt;$D$246,E261&gt;$D$247),"Rev. Total. abona.",IF(D261="",IF(E261="","",E261/(0.92*1000)),IF(OR($D$239="SAN CRISTOBAL",$D$239="FLOREANA"),VLOOKUP(D261,'Estratos SCY - FLO'!$A$4:$M$108,IF($D$245="A1",2,IF($D$245="A",5,IF($D$245="B",8,11))))+E261/(0.92*1000),VLOOKUP(D261,'Estratos SCX - ISA'!$A$3:$M$107,IF($D$245="A1",2,IF($D$245="A",5,IF($D$245="B",8,11))))+E261/(0.92*1000))))),IF(OR($D$239="",$D$245=""),"",IF(OR(D261&gt;$D$246,E261&gt;$D$247),"Rev. Total. abona.",IF(D261="",IF(E261="","",E261/(0.92*1000)),IF(OR($D$239="SAN CRISTOBAL",$D$239="FLOREANA"),VLOOKUP(D261,'Estratos SCY - FLO'!$O$4:$S$108,IF($D$245="A1",2,IF($D$245="A",3,IF($D$245="B",4,5))))+E261/(0.92*1000),VLOOKUP(D261,'Estratos SCX - ISA'!$O$4:$S$108,IF($D$245="A1",2,IF($D$245="A",3,IF($D$245="B",4,5))))+E261/(0.92*1000)))))))</f>
        <v/>
      </c>
      <c r="G261" s="59" t="str">
        <f t="shared" si="39"/>
        <v/>
      </c>
      <c r="H261" s="183"/>
      <c r="I261" s="183"/>
      <c r="J261" s="59" t="str">
        <f>IF(OR(H261="",$D$10="",$N$10=""),"",IF($D$10="COBRE",VLOOKUP(CDV_PROY_BT!H261,FDV!$B$16:$E$24,IF(CDV_PROY_BT!$N$10="3F",3,4),FALSE),IF($D$10="ACS",VLOOKUP(CDV_PROY_BT!H261,FDV!$B$10:$E$15,IF(CDV_PROY_BT!$N$10="3F",3,4),FALSE),IF($D$10="5005 (PREENSAMBLADO)",VLOOKUP(CDV_PROY_BT!H261,FDV!$B$4:$E$9,IF(CDV_PROY_BT!$N$10="3F",3,4),FALSE),VLOOKUP(CDV_PROY_BT!H261,FDV!$B$25:$E$30,IF(CDV_PROY_BT!$N$10="3F",3,4),FALSE)))))</f>
        <v/>
      </c>
      <c r="K261" s="63" t="str">
        <f t="shared" si="36"/>
        <v/>
      </c>
      <c r="L261" s="62" t="str">
        <f t="shared" si="40"/>
        <v/>
      </c>
      <c r="M261" s="62" t="str">
        <f t="shared" si="41"/>
        <v/>
      </c>
      <c r="N261" s="155"/>
      <c r="U261" s="138">
        <f t="shared" si="37"/>
        <v>0</v>
      </c>
      <c r="V261" s="138">
        <f t="shared" si="38"/>
        <v>0</v>
      </c>
    </row>
    <row r="262" spans="1:22" hidden="1" x14ac:dyDescent="0.25">
      <c r="A262" s="167"/>
      <c r="B262" s="168"/>
      <c r="C262" s="169"/>
      <c r="D262" s="169"/>
      <c r="E262" s="170"/>
      <c r="F262" s="58" t="str">
        <f>IF($N$241="","",IF($N$241="INDUSTRIAL",IF(OR($D$239="",$D$245=""),"",IF(OR(D262&gt;$D$246,E262&gt;$D$247),"Rev. Total. abona.",IF(D262="",IF(E262="","",E262/(0.92*1000)),IF(OR($D$239="SAN CRISTOBAL",$D$239="FLOREANA"),VLOOKUP(D262,'Estratos SCY - FLO'!$A$4:$M$108,IF($D$245="A1",2,IF($D$245="A",5,IF($D$245="B",8,11))))+E262/(0.92*1000),VLOOKUP(D262,'Estratos SCX - ISA'!$A$3:$M$107,IF($D$245="A1",2,IF($D$245="A",5,IF($D$245="B",8,11))))+E262/(0.92*1000))))),IF(OR($D$239="",$D$245=""),"",IF(OR(D262&gt;$D$246,E262&gt;$D$247),"Rev. Total. abona.",IF(D262="",IF(E262="","",E262/(0.92*1000)),IF(OR($D$239="SAN CRISTOBAL",$D$239="FLOREANA"),VLOOKUP(D262,'Estratos SCY - FLO'!$O$4:$S$108,IF($D$245="A1",2,IF($D$245="A",3,IF($D$245="B",4,5))))+E262/(0.92*1000),VLOOKUP(D262,'Estratos SCX - ISA'!$O$4:$S$108,IF($D$245="A1",2,IF($D$245="A",3,IF($D$245="B",4,5))))+E262/(0.92*1000)))))))</f>
        <v/>
      </c>
      <c r="G262" s="59" t="str">
        <f t="shared" si="39"/>
        <v/>
      </c>
      <c r="H262" s="183"/>
      <c r="I262" s="183"/>
      <c r="J262" s="59" t="str">
        <f>IF(OR(H262="",$D$10="",$N$10=""),"",IF($D$10="COBRE",VLOOKUP(CDV_PROY_BT!H262,FDV!$B$16:$E$24,IF(CDV_PROY_BT!$N$10="3F",3,4),FALSE),IF($D$10="ACS",VLOOKUP(CDV_PROY_BT!H262,FDV!$B$10:$E$15,IF(CDV_PROY_BT!$N$10="3F",3,4),FALSE),IF($D$10="5005 (PREENSAMBLADO)",VLOOKUP(CDV_PROY_BT!H262,FDV!$B$4:$E$9,IF(CDV_PROY_BT!$N$10="3F",3,4),FALSE),VLOOKUP(CDV_PROY_BT!H262,FDV!$B$25:$E$30,IF(CDV_PROY_BT!$N$10="3F",3,4),FALSE)))))</f>
        <v/>
      </c>
      <c r="K262" s="63" t="str">
        <f t="shared" si="36"/>
        <v/>
      </c>
      <c r="L262" s="62" t="str">
        <f t="shared" si="40"/>
        <v/>
      </c>
      <c r="M262" s="62" t="str">
        <f t="shared" si="41"/>
        <v/>
      </c>
      <c r="N262" s="155"/>
      <c r="U262" s="138">
        <f t="shared" si="37"/>
        <v>0</v>
      </c>
      <c r="V262" s="138">
        <f t="shared" si="38"/>
        <v>0</v>
      </c>
    </row>
    <row r="263" spans="1:22" hidden="1" x14ac:dyDescent="0.25">
      <c r="A263" s="167"/>
      <c r="B263" s="168"/>
      <c r="C263" s="169"/>
      <c r="D263" s="169"/>
      <c r="E263" s="170"/>
      <c r="F263" s="58" t="str">
        <f>IF($N$241="","",IF($N$241="INDUSTRIAL",IF(OR($D$239="",$D$245=""),"",IF(OR(D263&gt;$D$246,E263&gt;$D$247),"Rev. Total. abona.",IF(D263="",IF(E263="","",E263/(0.92*1000)),IF(OR($D$239="SAN CRISTOBAL",$D$239="FLOREANA"),VLOOKUP(D263,'Estratos SCY - FLO'!$A$4:$M$108,IF($D$245="A1",2,IF($D$245="A",5,IF($D$245="B",8,11))))+E263/(0.92*1000),VLOOKUP(D263,'Estratos SCX - ISA'!$A$3:$M$107,IF($D$245="A1",2,IF($D$245="A",5,IF($D$245="B",8,11))))+E263/(0.92*1000))))),IF(OR($D$239="",$D$245=""),"",IF(OR(D263&gt;$D$246,E263&gt;$D$247),"Rev. Total. abona.",IF(D263="",IF(E263="","",E263/(0.92*1000)),IF(OR($D$239="SAN CRISTOBAL",$D$239="FLOREANA"),VLOOKUP(D263,'Estratos SCY - FLO'!$O$4:$S$108,IF($D$245="A1",2,IF($D$245="A",3,IF($D$245="B",4,5))))+E263/(0.92*1000),VLOOKUP(D263,'Estratos SCX - ISA'!$O$4:$S$108,IF($D$245="A1",2,IF($D$245="A",3,IF($D$245="B",4,5))))+E263/(0.92*1000)))))))</f>
        <v/>
      </c>
      <c r="G263" s="59" t="str">
        <f t="shared" si="39"/>
        <v/>
      </c>
      <c r="H263" s="183"/>
      <c r="I263" s="183"/>
      <c r="J263" s="59" t="str">
        <f>IF(OR(H263="",$D$10="",$N$10=""),"",IF($D$10="COBRE",VLOOKUP(CDV_PROY_BT!H263,FDV!$B$16:$E$24,IF(CDV_PROY_BT!$N$10="3F",3,4),FALSE),IF($D$10="ACS",VLOOKUP(CDV_PROY_BT!H263,FDV!$B$10:$E$15,IF(CDV_PROY_BT!$N$10="3F",3,4),FALSE),IF($D$10="5005 (PREENSAMBLADO)",VLOOKUP(CDV_PROY_BT!H263,FDV!$B$4:$E$9,IF(CDV_PROY_BT!$N$10="3F",3,4),FALSE),VLOOKUP(CDV_PROY_BT!H263,FDV!$B$25:$E$30,IF(CDV_PROY_BT!$N$10="3F",3,4),FALSE)))))</f>
        <v/>
      </c>
      <c r="K263" s="63" t="str">
        <f t="shared" si="36"/>
        <v/>
      </c>
      <c r="L263" s="62" t="str">
        <f t="shared" si="40"/>
        <v/>
      </c>
      <c r="M263" s="62" t="str">
        <f t="shared" si="41"/>
        <v/>
      </c>
      <c r="N263" s="155"/>
      <c r="U263" s="138">
        <f t="shared" si="37"/>
        <v>0</v>
      </c>
      <c r="V263" s="138">
        <f t="shared" si="38"/>
        <v>0</v>
      </c>
    </row>
    <row r="264" spans="1:22" hidden="1" x14ac:dyDescent="0.25">
      <c r="A264" s="171"/>
      <c r="B264" s="172"/>
      <c r="C264" s="173"/>
      <c r="D264" s="173"/>
      <c r="E264" s="170"/>
      <c r="F264" s="58" t="str">
        <f>IF($N$241="","",IF($N$241="INDUSTRIAL",IF(OR($D$239="",$D$245=""),"",IF(OR(D264&gt;$D$246,E264&gt;$D$247),"Rev. Total. abona.",IF(D264="",IF(E264="","",E264/(0.92*1000)),IF(OR($D$239="SAN CRISTOBAL",$D$239="FLOREANA"),VLOOKUP(D264,'Estratos SCY - FLO'!$A$4:$M$108,IF($D$245="A1",2,IF($D$245="A",5,IF($D$245="B",8,11))))+E264/(0.92*1000),VLOOKUP(D264,'Estratos SCX - ISA'!$A$3:$M$107,IF($D$245="A1",2,IF($D$245="A",5,IF($D$245="B",8,11))))+E264/(0.92*1000))))),IF(OR($D$239="",$D$245=""),"",IF(OR(D264&gt;$D$246,E264&gt;$D$247),"Rev. Total. abona.",IF(D264="",IF(E264="","",E264/(0.92*1000)),IF(OR($D$239="SAN CRISTOBAL",$D$239="FLOREANA"),VLOOKUP(D264,'Estratos SCY - FLO'!$O$4:$S$108,IF($D$245="A1",2,IF($D$245="A",3,IF($D$245="B",4,5))))+E264/(0.92*1000),VLOOKUP(D264,'Estratos SCX - ISA'!$O$4:$S$108,IF($D$245="A1",2,IF($D$245="A",3,IF($D$245="B",4,5))))+E264/(0.92*1000)))))))</f>
        <v/>
      </c>
      <c r="G264" s="59" t="str">
        <f t="shared" si="39"/>
        <v/>
      </c>
      <c r="H264" s="183"/>
      <c r="I264" s="183"/>
      <c r="J264" s="59" t="str">
        <f>IF(OR(H264="",$D$10="",$N$10=""),"",IF($D$10="COBRE",VLOOKUP(CDV_PROY_BT!H264,FDV!$B$16:$E$24,IF(CDV_PROY_BT!$N$10="3F",3,4),FALSE),IF($D$10="ACS",VLOOKUP(CDV_PROY_BT!H264,FDV!$B$10:$E$15,IF(CDV_PROY_BT!$N$10="3F",3,4),FALSE),IF($D$10="5005 (PREENSAMBLADO)",VLOOKUP(CDV_PROY_BT!H264,FDV!$B$4:$E$9,IF(CDV_PROY_BT!$N$10="3F",3,4),FALSE),VLOOKUP(CDV_PROY_BT!H264,FDV!$B$25:$E$30,IF(CDV_PROY_BT!$N$10="3F",3,4),FALSE)))))</f>
        <v/>
      </c>
      <c r="K264" s="63" t="str">
        <f t="shared" si="36"/>
        <v/>
      </c>
      <c r="L264" s="62" t="str">
        <f t="shared" si="40"/>
        <v/>
      </c>
      <c r="M264" s="62" t="str">
        <f t="shared" si="41"/>
        <v/>
      </c>
      <c r="N264" s="155"/>
      <c r="U264" s="138">
        <f t="shared" si="37"/>
        <v>0</v>
      </c>
      <c r="V264" s="138">
        <f t="shared" si="38"/>
        <v>0</v>
      </c>
    </row>
    <row r="265" spans="1:22" hidden="1" x14ac:dyDescent="0.25">
      <c r="A265" s="167"/>
      <c r="B265" s="168"/>
      <c r="C265" s="169"/>
      <c r="D265" s="169"/>
      <c r="E265" s="174"/>
      <c r="F265" s="58" t="str">
        <f>IF($N$241="","",IF($N$241="INDUSTRIAL",IF(OR($D$239="",$D$245=""),"",IF(OR(D265&gt;$D$246,E265&gt;$D$247),"Rev. Total. abona.",IF(D265="",IF(E265="","",E265/(0.92*1000)),IF(OR($D$239="SAN CRISTOBAL",$D$239="FLOREANA"),VLOOKUP(D265,'Estratos SCY - FLO'!$A$4:$M$108,IF($D$245="A1",2,IF($D$245="A",5,IF($D$245="B",8,11))))+E265/(0.92*1000),VLOOKUP(D265,'Estratos SCX - ISA'!$A$3:$M$107,IF($D$245="A1",2,IF($D$245="A",5,IF($D$245="B",8,11))))+E265/(0.92*1000))))),IF(OR($D$239="",$D$245=""),"",IF(OR(D265&gt;$D$246,E265&gt;$D$247),"Rev. Total. abona.",IF(D265="",IF(E265="","",E265/(0.92*1000)),IF(OR($D$239="SAN CRISTOBAL",$D$239="FLOREANA"),VLOOKUP(D265,'Estratos SCY - FLO'!$O$4:$S$108,IF($D$245="A1",2,IF($D$245="A",3,IF($D$245="B",4,5))))+E265/(0.92*1000),VLOOKUP(D265,'Estratos SCX - ISA'!$O$4:$S$108,IF($D$245="A1",2,IF($D$245="A",3,IF($D$245="B",4,5))))+E265/(0.92*1000)))))))</f>
        <v/>
      </c>
      <c r="G265" s="59" t="str">
        <f t="shared" si="39"/>
        <v/>
      </c>
      <c r="H265" s="183"/>
      <c r="I265" s="183"/>
      <c r="J265" s="59" t="str">
        <f>IF(OR(H265="",$D$10="",$N$10=""),"",IF($D$10="COBRE",VLOOKUP(CDV_PROY_BT!H265,FDV!$B$16:$E$24,IF(CDV_PROY_BT!$N$10="3F",3,4),FALSE),IF($D$10="ACS",VLOOKUP(CDV_PROY_BT!H265,FDV!$B$10:$E$15,IF(CDV_PROY_BT!$N$10="3F",3,4),FALSE),IF($D$10="5005 (PREENSAMBLADO)",VLOOKUP(CDV_PROY_BT!H265,FDV!$B$4:$E$9,IF(CDV_PROY_BT!$N$10="3F",3,4),FALSE),VLOOKUP(CDV_PROY_BT!H265,FDV!$B$25:$E$30,IF(CDV_PROY_BT!$N$10="3F",3,4),FALSE)))))</f>
        <v/>
      </c>
      <c r="K265" s="63" t="str">
        <f t="shared" si="36"/>
        <v/>
      </c>
      <c r="L265" s="62" t="str">
        <f t="shared" si="40"/>
        <v/>
      </c>
      <c r="M265" s="62" t="str">
        <f t="shared" si="41"/>
        <v/>
      </c>
      <c r="N265" s="155"/>
      <c r="U265" s="138">
        <f t="shared" si="37"/>
        <v>0</v>
      </c>
      <c r="V265" s="138">
        <f t="shared" si="38"/>
        <v>0</v>
      </c>
    </row>
    <row r="266" spans="1:22" hidden="1" x14ac:dyDescent="0.25">
      <c r="A266" s="175"/>
      <c r="B266" s="176"/>
      <c r="C266" s="177"/>
      <c r="D266" s="177"/>
      <c r="E266" s="170"/>
      <c r="F266" s="58" t="str">
        <f>IF($N$241="","",IF($N$241="INDUSTRIAL",IF(OR($D$239="",$D$245=""),"",IF(OR(D266&gt;$D$246,E266&gt;$D$247),"Rev. Total. abona.",IF(D266="",IF(E266="","",E266/(0.92*1000)),IF(OR($D$239="SAN CRISTOBAL",$D$239="FLOREANA"),VLOOKUP(D266,'Estratos SCY - FLO'!$A$4:$M$108,IF($D$245="A1",2,IF($D$245="A",5,IF($D$245="B",8,11))))+E266/(0.92*1000),VLOOKUP(D266,'Estratos SCX - ISA'!$A$3:$M$107,IF($D$245="A1",2,IF($D$245="A",5,IF($D$245="B",8,11))))+E266/(0.92*1000))))),IF(OR($D$239="",$D$245=""),"",IF(OR(D266&gt;$D$246,E266&gt;$D$247),"Rev. Total. abona.",IF(D266="",IF(E266="","",E266/(0.92*1000)),IF(OR($D$239="SAN CRISTOBAL",$D$239="FLOREANA"),VLOOKUP(D266,'Estratos SCY - FLO'!$O$4:$S$108,IF($D$245="A1",2,IF($D$245="A",3,IF($D$245="B",4,5))))+E266/(0.92*1000),VLOOKUP(D266,'Estratos SCX - ISA'!$O$4:$S$108,IF($D$245="A1",2,IF($D$245="A",3,IF($D$245="B",4,5))))+E266/(0.92*1000)))))))</f>
        <v/>
      </c>
      <c r="G266" s="59" t="str">
        <f t="shared" si="39"/>
        <v/>
      </c>
      <c r="H266" s="183"/>
      <c r="I266" s="183"/>
      <c r="J266" s="59" t="str">
        <f>IF(OR(H266="",$D$10="",$N$10=""),"",IF($D$10="COBRE",VLOOKUP(CDV_PROY_BT!H266,FDV!$B$16:$E$24,IF(CDV_PROY_BT!$N$10="3F",3,4),FALSE),IF($D$10="ACS",VLOOKUP(CDV_PROY_BT!H266,FDV!$B$10:$E$15,IF(CDV_PROY_BT!$N$10="3F",3,4),FALSE),IF($D$10="5005 (PREENSAMBLADO)",VLOOKUP(CDV_PROY_BT!H266,FDV!$B$4:$E$9,IF(CDV_PROY_BT!$N$10="3F",3,4),FALSE),VLOOKUP(CDV_PROY_BT!H266,FDV!$B$25:$E$30,IF(CDV_PROY_BT!$N$10="3F",3,4),FALSE)))))</f>
        <v/>
      </c>
      <c r="K266" s="63" t="str">
        <f t="shared" si="36"/>
        <v/>
      </c>
      <c r="L266" s="62" t="str">
        <f t="shared" si="40"/>
        <v/>
      </c>
      <c r="M266" s="62" t="str">
        <f t="shared" si="41"/>
        <v/>
      </c>
      <c r="N266" s="155"/>
      <c r="U266" s="138">
        <f t="shared" si="37"/>
        <v>0</v>
      </c>
      <c r="V266" s="138">
        <f t="shared" si="38"/>
        <v>0</v>
      </c>
    </row>
    <row r="267" spans="1:22" hidden="1" x14ac:dyDescent="0.25">
      <c r="A267" s="167"/>
      <c r="B267" s="168"/>
      <c r="C267" s="169"/>
      <c r="D267" s="169"/>
      <c r="E267" s="170"/>
      <c r="F267" s="58" t="str">
        <f>IF($N$241="","",IF($N$241="INDUSTRIAL",IF(OR($D$239="",$D$245=""),"",IF(OR(D267&gt;$D$246,E267&gt;$D$247),"Rev. Total. abona.",IF(D267="",IF(E267="","",E267/(0.92*1000)),IF(OR($D$239="SAN CRISTOBAL",$D$239="FLOREANA"),VLOOKUP(D267,'Estratos SCY - FLO'!$A$4:$M$108,IF($D$245="A1",2,IF($D$245="A",5,IF($D$245="B",8,11))))+E267/(0.92*1000),VLOOKUP(D267,'Estratos SCX - ISA'!$A$3:$M$107,IF($D$245="A1",2,IF($D$245="A",5,IF($D$245="B",8,11))))+E267/(0.92*1000))))),IF(OR($D$239="",$D$245=""),"",IF(OR(D267&gt;$D$246,E267&gt;$D$247),"Rev. Total. abona.",IF(D267="",IF(E267="","",E267/(0.92*1000)),IF(OR($D$239="SAN CRISTOBAL",$D$239="FLOREANA"),VLOOKUP(D267,'Estratos SCY - FLO'!$O$4:$S$108,IF($D$245="A1",2,IF($D$245="A",3,IF($D$245="B",4,5))))+E267/(0.92*1000),VLOOKUP(D267,'Estratos SCX - ISA'!$O$4:$S$108,IF($D$245="A1",2,IF($D$245="A",3,IF($D$245="B",4,5))))+E267/(0.92*1000)))))))</f>
        <v/>
      </c>
      <c r="G267" s="59" t="str">
        <f t="shared" si="39"/>
        <v/>
      </c>
      <c r="H267" s="183"/>
      <c r="I267" s="183"/>
      <c r="J267" s="59" t="str">
        <f>IF(OR(H267="",$D$10="",$N$10=""),"",IF($D$10="COBRE",VLOOKUP(CDV_PROY_BT!H267,FDV!$B$16:$E$24,IF(CDV_PROY_BT!$N$10="3F",3,4),FALSE),IF($D$10="ACS",VLOOKUP(CDV_PROY_BT!H267,FDV!$B$10:$E$15,IF(CDV_PROY_BT!$N$10="3F",3,4),FALSE),IF($D$10="5005 (PREENSAMBLADO)",VLOOKUP(CDV_PROY_BT!H267,FDV!$B$4:$E$9,IF(CDV_PROY_BT!$N$10="3F",3,4),FALSE),VLOOKUP(CDV_PROY_BT!H267,FDV!$B$25:$E$30,IF(CDV_PROY_BT!$N$10="3F",3,4),FALSE)))))</f>
        <v/>
      </c>
      <c r="K267" s="63" t="str">
        <f t="shared" si="36"/>
        <v/>
      </c>
      <c r="L267" s="62" t="str">
        <f t="shared" si="40"/>
        <v/>
      </c>
      <c r="M267" s="62" t="str">
        <f t="shared" si="41"/>
        <v/>
      </c>
      <c r="N267" s="155"/>
      <c r="U267" s="138">
        <f t="shared" si="37"/>
        <v>0</v>
      </c>
      <c r="V267" s="138">
        <f t="shared" si="38"/>
        <v>0</v>
      </c>
    </row>
    <row r="268" spans="1:22" hidden="1" x14ac:dyDescent="0.25">
      <c r="A268" s="167"/>
      <c r="B268" s="168"/>
      <c r="C268" s="169"/>
      <c r="D268" s="169"/>
      <c r="E268" s="170"/>
      <c r="F268" s="58" t="str">
        <f>IF($N$241="","",IF($N$241="INDUSTRIAL",IF(OR($D$239="",$D$245=""),"",IF(OR(D268&gt;$D$246,E268&gt;$D$247),"Rev. Total. abona.",IF(D268="",IF(E268="","",E268/(0.92*1000)),IF(OR($D$239="SAN CRISTOBAL",$D$239="FLOREANA"),VLOOKUP(D268,'Estratos SCY - FLO'!$A$4:$M$108,IF($D$245="A1",2,IF($D$245="A",5,IF($D$245="B",8,11))))+E268/(0.92*1000),VLOOKUP(D268,'Estratos SCX - ISA'!$A$3:$M$107,IF($D$245="A1",2,IF($D$245="A",5,IF($D$245="B",8,11))))+E268/(0.92*1000))))),IF(OR($D$239="",$D$245=""),"",IF(OR(D268&gt;$D$246,E268&gt;$D$247),"Rev. Total. abona.",IF(D268="",IF(E268="","",E268/(0.92*1000)),IF(OR($D$239="SAN CRISTOBAL",$D$239="FLOREANA"),VLOOKUP(D268,'Estratos SCY - FLO'!$O$4:$S$108,IF($D$245="A1",2,IF($D$245="A",3,IF($D$245="B",4,5))))+E268/(0.92*1000),VLOOKUP(D268,'Estratos SCX - ISA'!$O$4:$S$108,IF($D$245="A1",2,IF($D$245="A",3,IF($D$245="B",4,5))))+E268/(0.92*1000)))))))</f>
        <v/>
      </c>
      <c r="G268" s="59" t="str">
        <f t="shared" si="39"/>
        <v/>
      </c>
      <c r="H268" s="183"/>
      <c r="I268" s="183"/>
      <c r="J268" s="59" t="str">
        <f>IF(OR(H268="",$D$10="",$N$10=""),"",IF($D$10="COBRE",VLOOKUP(CDV_PROY_BT!H268,FDV!$B$16:$E$24,IF(CDV_PROY_BT!$N$10="3F",3,4),FALSE),IF($D$10="ACS",VLOOKUP(CDV_PROY_BT!H268,FDV!$B$10:$E$15,IF(CDV_PROY_BT!$N$10="3F",3,4),FALSE),IF($D$10="5005 (PREENSAMBLADO)",VLOOKUP(CDV_PROY_BT!H268,FDV!$B$4:$E$9,IF(CDV_PROY_BT!$N$10="3F",3,4),FALSE),VLOOKUP(CDV_PROY_BT!H268,FDV!$B$25:$E$30,IF(CDV_PROY_BT!$N$10="3F",3,4),FALSE)))))</f>
        <v/>
      </c>
      <c r="K268" s="63" t="str">
        <f t="shared" si="36"/>
        <v/>
      </c>
      <c r="L268" s="62" t="str">
        <f t="shared" si="40"/>
        <v/>
      </c>
      <c r="M268" s="62" t="str">
        <f t="shared" si="41"/>
        <v/>
      </c>
      <c r="N268" s="155"/>
      <c r="U268" s="138">
        <f t="shared" si="37"/>
        <v>0</v>
      </c>
      <c r="V268" s="138">
        <f t="shared" si="38"/>
        <v>0</v>
      </c>
    </row>
    <row r="269" spans="1:22" hidden="1" x14ac:dyDescent="0.25">
      <c r="A269" s="167"/>
      <c r="B269" s="168"/>
      <c r="C269" s="169"/>
      <c r="D269" s="169"/>
      <c r="E269" s="170"/>
      <c r="F269" s="58" t="str">
        <f>IF($N$241="","",IF($N$241="INDUSTRIAL",IF(OR($D$239="",$D$245=""),"",IF(OR(D269&gt;$D$246,E269&gt;$D$247),"Rev. Total. abona.",IF(D269="",IF(E269="","",E269/(0.92*1000)),IF(OR($D$239="SAN CRISTOBAL",$D$239="FLOREANA"),VLOOKUP(D269,'Estratos SCY - FLO'!$A$4:$M$108,IF($D$245="A1",2,IF($D$245="A",5,IF($D$245="B",8,11))))+E269/(0.92*1000),VLOOKUP(D269,'Estratos SCX - ISA'!$A$3:$M$107,IF($D$245="A1",2,IF($D$245="A",5,IF($D$245="B",8,11))))+E269/(0.92*1000))))),IF(OR($D$239="",$D$245=""),"",IF(OR(D269&gt;$D$246,E269&gt;$D$247),"Rev. Total. abona.",IF(D269="",IF(E269="","",E269/(0.92*1000)),IF(OR($D$239="SAN CRISTOBAL",$D$239="FLOREANA"),VLOOKUP(D269,'Estratos SCY - FLO'!$O$4:$S$108,IF($D$245="A1",2,IF($D$245="A",3,IF($D$245="B",4,5))))+E269/(0.92*1000),VLOOKUP(D269,'Estratos SCX - ISA'!$O$4:$S$108,IF($D$245="A1",2,IF($D$245="A",3,IF($D$245="B",4,5))))+E269/(0.92*1000)))))))</f>
        <v/>
      </c>
      <c r="G269" s="59" t="str">
        <f t="shared" si="39"/>
        <v/>
      </c>
      <c r="H269" s="183"/>
      <c r="I269" s="183"/>
      <c r="J269" s="59" t="str">
        <f>IF(OR(H269="",$D$10="",$N$10=""),"",IF($D$10="COBRE",VLOOKUP(CDV_PROY_BT!H269,FDV!$B$16:$E$24,IF(CDV_PROY_BT!$N$10="3F",3,4),FALSE),IF($D$10="ACS",VLOOKUP(CDV_PROY_BT!H269,FDV!$B$10:$E$15,IF(CDV_PROY_BT!$N$10="3F",3,4),FALSE),IF($D$10="5005 (PREENSAMBLADO)",VLOOKUP(CDV_PROY_BT!H269,FDV!$B$4:$E$9,IF(CDV_PROY_BT!$N$10="3F",3,4),FALSE),VLOOKUP(CDV_PROY_BT!H269,FDV!$B$25:$E$30,IF(CDV_PROY_BT!$N$10="3F",3,4),FALSE)))))</f>
        <v/>
      </c>
      <c r="K269" s="63" t="str">
        <f t="shared" si="36"/>
        <v/>
      </c>
      <c r="L269" s="62" t="str">
        <f t="shared" si="40"/>
        <v/>
      </c>
      <c r="M269" s="62" t="str">
        <f t="shared" si="41"/>
        <v/>
      </c>
      <c r="N269" s="155"/>
      <c r="U269" s="138">
        <f t="shared" si="37"/>
        <v>0</v>
      </c>
      <c r="V269" s="138">
        <f t="shared" si="38"/>
        <v>0</v>
      </c>
    </row>
    <row r="270" spans="1:22" hidden="1" x14ac:dyDescent="0.25">
      <c r="A270" s="167"/>
      <c r="B270" s="168"/>
      <c r="C270" s="169"/>
      <c r="D270" s="169"/>
      <c r="E270" s="170"/>
      <c r="F270" s="58" t="str">
        <f>IF($N$241="","",IF($N$241="INDUSTRIAL",IF(OR($D$239="",$D$245=""),"",IF(OR(D270&gt;$D$246,E270&gt;$D$247),"Rev. Total. abona.",IF(D270="",IF(E270="","",E270/(0.92*1000)),IF(OR($D$239="SAN CRISTOBAL",$D$239="FLOREANA"),VLOOKUP(D270,'Estratos SCY - FLO'!$A$4:$M$108,IF($D$245="A1",2,IF($D$245="A",5,IF($D$245="B",8,11))))+E270/(0.92*1000),VLOOKUP(D270,'Estratos SCX - ISA'!$A$3:$M$107,IF($D$245="A1",2,IF($D$245="A",5,IF($D$245="B",8,11))))+E270/(0.92*1000))))),IF(OR($D$239="",$D$245=""),"",IF(OR(D270&gt;$D$246,E270&gt;$D$247),"Rev. Total. abona.",IF(D270="",IF(E270="","",E270/(0.92*1000)),IF(OR($D$239="SAN CRISTOBAL",$D$239="FLOREANA"),VLOOKUP(D270,'Estratos SCY - FLO'!$O$4:$S$108,IF($D$245="A1",2,IF($D$245="A",3,IF($D$245="B",4,5))))+E270/(0.92*1000),VLOOKUP(D270,'Estratos SCX - ISA'!$O$4:$S$108,IF($D$245="A1",2,IF($D$245="A",3,IF($D$245="B",4,5))))+E270/(0.92*1000)))))))</f>
        <v/>
      </c>
      <c r="G270" s="59" t="str">
        <f t="shared" si="39"/>
        <v/>
      </c>
      <c r="H270" s="183"/>
      <c r="I270" s="183"/>
      <c r="J270" s="59" t="str">
        <f>IF(OR(H270="",$D$10="",$N$10=""),"",IF($D$10="COBRE",VLOOKUP(CDV_PROY_BT!H270,FDV!$B$16:$E$24,IF(CDV_PROY_BT!$N$10="3F",3,4),FALSE),IF($D$10="ACS",VLOOKUP(CDV_PROY_BT!H270,FDV!$B$10:$E$15,IF(CDV_PROY_BT!$N$10="3F",3,4),FALSE),IF($D$10="5005 (PREENSAMBLADO)",VLOOKUP(CDV_PROY_BT!H270,FDV!$B$4:$E$9,IF(CDV_PROY_BT!$N$10="3F",3,4),FALSE),VLOOKUP(CDV_PROY_BT!H270,FDV!$B$25:$E$30,IF(CDV_PROY_BT!$N$10="3F",3,4),FALSE)))))</f>
        <v/>
      </c>
      <c r="K270" s="63" t="str">
        <f t="shared" si="36"/>
        <v/>
      </c>
      <c r="L270" s="62" t="str">
        <f t="shared" si="40"/>
        <v/>
      </c>
      <c r="M270" s="62" t="str">
        <f t="shared" si="41"/>
        <v/>
      </c>
      <c r="N270" s="155"/>
      <c r="U270" s="138">
        <f t="shared" si="37"/>
        <v>0</v>
      </c>
      <c r="V270" s="138">
        <f t="shared" si="38"/>
        <v>0</v>
      </c>
    </row>
    <row r="271" spans="1:22" hidden="1" x14ac:dyDescent="0.25">
      <c r="A271" s="167"/>
      <c r="B271" s="168"/>
      <c r="C271" s="169"/>
      <c r="D271" s="169"/>
      <c r="E271" s="170"/>
      <c r="F271" s="58" t="str">
        <f>IF($N$241="","",IF($N$241="INDUSTRIAL",IF(OR($D$239="",$D$245=""),"",IF(OR(D271&gt;$D$246,E271&gt;$D$247),"Rev. Total. abona.",IF(D271="",IF(E271="","",E271/(0.92*1000)),IF(OR($D$239="SAN CRISTOBAL",$D$239="FLOREANA"),VLOOKUP(D271,'Estratos SCY - FLO'!$A$4:$M$108,IF($D$245="A1",2,IF($D$245="A",5,IF($D$245="B",8,11))))+E271/(0.92*1000),VLOOKUP(D271,'Estratos SCX - ISA'!$A$3:$M$107,IF($D$245="A1",2,IF($D$245="A",5,IF($D$245="B",8,11))))+E271/(0.92*1000))))),IF(OR($D$239="",$D$245=""),"",IF(OR(D271&gt;$D$246,E271&gt;$D$247),"Rev. Total. abona.",IF(D271="",IF(E271="","",E271/(0.92*1000)),IF(OR($D$239="SAN CRISTOBAL",$D$239="FLOREANA"),VLOOKUP(D271,'Estratos SCY - FLO'!$O$4:$S$108,IF($D$245="A1",2,IF($D$245="A",3,IF($D$245="B",4,5))))+E271/(0.92*1000),VLOOKUP(D271,'Estratos SCX - ISA'!$O$4:$S$108,IF($D$245="A1",2,IF($D$245="A",3,IF($D$245="B",4,5))))+E271/(0.92*1000)))))))</f>
        <v/>
      </c>
      <c r="G271" s="59" t="str">
        <f t="shared" si="39"/>
        <v/>
      </c>
      <c r="H271" s="183"/>
      <c r="I271" s="183"/>
      <c r="J271" s="59" t="str">
        <f>IF(OR(H271="",$D$10="",$N$10=""),"",IF($D$10="COBRE",VLOOKUP(CDV_PROY_BT!H271,FDV!$B$16:$E$24,IF(CDV_PROY_BT!$N$10="3F",3,4),FALSE),IF($D$10="ACS",VLOOKUP(CDV_PROY_BT!H271,FDV!$B$10:$E$15,IF(CDV_PROY_BT!$N$10="3F",3,4),FALSE),IF($D$10="5005 (PREENSAMBLADO)",VLOOKUP(CDV_PROY_BT!H271,FDV!$B$4:$E$9,IF(CDV_PROY_BT!$N$10="3F",3,4),FALSE),VLOOKUP(CDV_PROY_BT!H271,FDV!$B$25:$E$30,IF(CDV_PROY_BT!$N$10="3F",3,4),FALSE)))))</f>
        <v/>
      </c>
      <c r="K271" s="63" t="str">
        <f t="shared" si="36"/>
        <v/>
      </c>
      <c r="L271" s="62" t="str">
        <f t="shared" si="40"/>
        <v/>
      </c>
      <c r="M271" s="62" t="str">
        <f t="shared" si="41"/>
        <v/>
      </c>
      <c r="N271" s="155"/>
      <c r="U271" s="138">
        <f t="shared" si="37"/>
        <v>0</v>
      </c>
      <c r="V271" s="138">
        <f t="shared" si="38"/>
        <v>0</v>
      </c>
    </row>
    <row r="272" spans="1:22" hidden="1" x14ac:dyDescent="0.25">
      <c r="A272" s="167"/>
      <c r="B272" s="168"/>
      <c r="C272" s="169"/>
      <c r="D272" s="169"/>
      <c r="E272" s="170"/>
      <c r="F272" s="58" t="str">
        <f>IF($N$241="","",IF($N$241="INDUSTRIAL",IF(OR($D$239="",$D$245=""),"",IF(OR(D272&gt;$D$246,E272&gt;$D$247),"Rev. Total. abona.",IF(D272="",IF(E272="","",E272/(0.92*1000)),IF(OR($D$239="SAN CRISTOBAL",$D$239="FLOREANA"),VLOOKUP(D272,'Estratos SCY - FLO'!$A$4:$M$108,IF($D$245="A1",2,IF($D$245="A",5,IF($D$245="B",8,11))))+E272/(0.92*1000),VLOOKUP(D272,'Estratos SCX - ISA'!$A$3:$M$107,IF($D$245="A1",2,IF($D$245="A",5,IF($D$245="B",8,11))))+E272/(0.92*1000))))),IF(OR($D$239="",$D$245=""),"",IF(OR(D272&gt;$D$246,E272&gt;$D$247),"Rev. Total. abona.",IF(D272="",IF(E272="","",E272/(0.92*1000)),IF(OR($D$239="SAN CRISTOBAL",$D$239="FLOREANA"),VLOOKUP(D272,'Estratos SCY - FLO'!$O$4:$S$108,IF($D$245="A1",2,IF($D$245="A",3,IF($D$245="B",4,5))))+E272/(0.92*1000),VLOOKUP(D272,'Estratos SCX - ISA'!$O$4:$S$108,IF($D$245="A1",2,IF($D$245="A",3,IF($D$245="B",4,5))))+E272/(0.92*1000)))))))</f>
        <v/>
      </c>
      <c r="G272" s="59" t="str">
        <f t="shared" si="39"/>
        <v/>
      </c>
      <c r="H272" s="183"/>
      <c r="I272" s="183"/>
      <c r="J272" s="59" t="str">
        <f>IF(OR(H272="",$D$10="",$N$10=""),"",IF($D$10="COBRE",VLOOKUP(CDV_PROY_BT!H272,FDV!$B$16:$E$24,IF(CDV_PROY_BT!$N$10="3F",3,4),FALSE),IF($D$10="ACS",VLOOKUP(CDV_PROY_BT!H272,FDV!$B$10:$E$15,IF(CDV_PROY_BT!$N$10="3F",3,4),FALSE),IF($D$10="5005 (PREENSAMBLADO)",VLOOKUP(CDV_PROY_BT!H272,FDV!$B$4:$E$9,IF(CDV_PROY_BT!$N$10="3F",3,4),FALSE),VLOOKUP(CDV_PROY_BT!H272,FDV!$B$25:$E$30,IF(CDV_PROY_BT!$N$10="3F",3,4),FALSE)))))</f>
        <v/>
      </c>
      <c r="K272" s="63" t="str">
        <f t="shared" si="36"/>
        <v/>
      </c>
      <c r="L272" s="62" t="str">
        <f t="shared" si="40"/>
        <v/>
      </c>
      <c r="M272" s="62" t="str">
        <f t="shared" si="41"/>
        <v/>
      </c>
      <c r="N272" s="155"/>
      <c r="U272" s="138">
        <f t="shared" si="37"/>
        <v>0</v>
      </c>
      <c r="V272" s="138">
        <f t="shared" si="38"/>
        <v>0</v>
      </c>
    </row>
    <row r="273" spans="1:22" hidden="1" x14ac:dyDescent="0.25">
      <c r="A273" s="167"/>
      <c r="B273" s="168"/>
      <c r="C273" s="169"/>
      <c r="D273" s="169"/>
      <c r="E273" s="170"/>
      <c r="F273" s="58" t="str">
        <f>IF($N$241="","",IF($N$241="INDUSTRIAL",IF(OR($D$239="",$D$245=""),"",IF(OR(D273&gt;$D$246,E273&gt;$D$247),"Rev. Total. abona.",IF(D273="",IF(E273="","",E273/(0.92*1000)),IF(OR($D$239="SAN CRISTOBAL",$D$239="FLOREANA"),VLOOKUP(D273,'Estratos SCY - FLO'!$A$4:$M$108,IF($D$245="A1",2,IF($D$245="A",5,IF($D$245="B",8,11))))+E273/(0.92*1000),VLOOKUP(D273,'Estratos SCX - ISA'!$A$3:$M$107,IF($D$245="A1",2,IF($D$245="A",5,IF($D$245="B",8,11))))+E273/(0.92*1000))))),IF(OR($D$239="",$D$245=""),"",IF(OR(D273&gt;$D$246,E273&gt;$D$247),"Rev. Total. abona.",IF(D273="",IF(E273="","",E273/(0.92*1000)),IF(OR($D$239="SAN CRISTOBAL",$D$239="FLOREANA"),VLOOKUP(D273,'Estratos SCY - FLO'!$O$4:$S$108,IF($D$245="A1",2,IF($D$245="A",3,IF($D$245="B",4,5))))+E273/(0.92*1000),VLOOKUP(D273,'Estratos SCX - ISA'!$O$4:$S$108,IF($D$245="A1",2,IF($D$245="A",3,IF($D$245="B",4,5))))+E273/(0.92*1000)))))))</f>
        <v/>
      </c>
      <c r="G273" s="59" t="str">
        <f t="shared" si="39"/>
        <v/>
      </c>
      <c r="H273" s="183"/>
      <c r="I273" s="183"/>
      <c r="J273" s="59" t="str">
        <f>IF(OR(H273="",$D$10="",$N$10=""),"",IF($D$10="COBRE",VLOOKUP(CDV_PROY_BT!H273,FDV!$B$16:$E$24,IF(CDV_PROY_BT!$N$10="3F",3,4),FALSE),IF($D$10="ACS",VLOOKUP(CDV_PROY_BT!H273,FDV!$B$10:$E$15,IF(CDV_PROY_BT!$N$10="3F",3,4),FALSE),IF($D$10="5005 (PREENSAMBLADO)",VLOOKUP(CDV_PROY_BT!H273,FDV!$B$4:$E$9,IF(CDV_PROY_BT!$N$10="3F",3,4),FALSE),VLOOKUP(CDV_PROY_BT!H273,FDV!$B$25:$E$30,IF(CDV_PROY_BT!$N$10="3F",3,4),FALSE)))))</f>
        <v/>
      </c>
      <c r="K273" s="63" t="str">
        <f t="shared" si="36"/>
        <v/>
      </c>
      <c r="L273" s="62" t="str">
        <f t="shared" si="40"/>
        <v/>
      </c>
      <c r="M273" s="62" t="str">
        <f t="shared" si="41"/>
        <v/>
      </c>
      <c r="N273" s="155"/>
      <c r="U273" s="138">
        <f t="shared" si="37"/>
        <v>0</v>
      </c>
      <c r="V273" s="138">
        <f t="shared" si="38"/>
        <v>0</v>
      </c>
    </row>
    <row r="274" spans="1:22" hidden="1" x14ac:dyDescent="0.25">
      <c r="A274" s="167"/>
      <c r="B274" s="168"/>
      <c r="C274" s="169"/>
      <c r="D274" s="169"/>
      <c r="E274" s="170"/>
      <c r="F274" s="58" t="str">
        <f>IF($N$241="","",IF($N$241="INDUSTRIAL",IF(OR($D$239="",$D$245=""),"",IF(OR(D274&gt;$D$246,E274&gt;$D$247),"Rev. Total. abona.",IF(D274="",IF(E274="","",E274/(0.92*1000)),IF(OR($D$239="SAN CRISTOBAL",$D$239="FLOREANA"),VLOOKUP(D274,'Estratos SCY - FLO'!$A$4:$M$108,IF($D$245="A1",2,IF($D$245="A",5,IF($D$245="B",8,11))))+E274/(0.92*1000),VLOOKUP(D274,'Estratos SCX - ISA'!$A$3:$M$107,IF($D$245="A1",2,IF($D$245="A",5,IF($D$245="B",8,11))))+E274/(0.92*1000))))),IF(OR($D$239="",$D$245=""),"",IF(OR(D274&gt;$D$246,E274&gt;$D$247),"Rev. Total. abona.",IF(D274="",IF(E274="","",E274/(0.92*1000)),IF(OR($D$239="SAN CRISTOBAL",$D$239="FLOREANA"),VLOOKUP(D274,'Estratos SCY - FLO'!$O$4:$S$108,IF($D$245="A1",2,IF($D$245="A",3,IF($D$245="B",4,5))))+E274/(0.92*1000),VLOOKUP(D274,'Estratos SCX - ISA'!$O$4:$S$108,IF($D$245="A1",2,IF($D$245="A",3,IF($D$245="B",4,5))))+E274/(0.92*1000)))))))</f>
        <v/>
      </c>
      <c r="G274" s="59" t="str">
        <f t="shared" si="39"/>
        <v/>
      </c>
      <c r="H274" s="183"/>
      <c r="I274" s="183"/>
      <c r="J274" s="59" t="str">
        <f>IF(OR(H274="",$D$10="",$N$10=""),"",IF($D$10="COBRE",VLOOKUP(CDV_PROY_BT!H274,FDV!$B$16:$E$24,IF(CDV_PROY_BT!$N$10="3F",3,4),FALSE),IF($D$10="ACS",VLOOKUP(CDV_PROY_BT!H274,FDV!$B$10:$E$15,IF(CDV_PROY_BT!$N$10="3F",3,4),FALSE),IF($D$10="5005 (PREENSAMBLADO)",VLOOKUP(CDV_PROY_BT!H274,FDV!$B$4:$E$9,IF(CDV_PROY_BT!$N$10="3F",3,4),FALSE),VLOOKUP(CDV_PROY_BT!H274,FDV!$B$25:$E$30,IF(CDV_PROY_BT!$N$10="3F",3,4),FALSE)))))</f>
        <v/>
      </c>
      <c r="K274" s="63" t="str">
        <f t="shared" si="36"/>
        <v/>
      </c>
      <c r="L274" s="62" t="str">
        <f t="shared" si="40"/>
        <v/>
      </c>
      <c r="M274" s="62" t="str">
        <f t="shared" si="41"/>
        <v/>
      </c>
      <c r="N274" s="155"/>
      <c r="U274" s="138">
        <f t="shared" si="37"/>
        <v>0</v>
      </c>
      <c r="V274" s="138">
        <f t="shared" si="38"/>
        <v>0</v>
      </c>
    </row>
    <row r="275" spans="1:22" hidden="1" x14ac:dyDescent="0.25">
      <c r="A275" s="167"/>
      <c r="B275" s="168"/>
      <c r="C275" s="169"/>
      <c r="D275" s="169"/>
      <c r="E275" s="170"/>
      <c r="F275" s="58" t="str">
        <f>IF($N$241="","",IF($N$241="INDUSTRIAL",IF(OR($D$239="",$D$245=""),"",IF(OR(D275&gt;$D$246,E275&gt;$D$247),"Rev. Total. abona.",IF(D275="",IF(E275="","",E275/(0.92*1000)),IF(OR($D$239="SAN CRISTOBAL",$D$239="FLOREANA"),VLOOKUP(D275,'Estratos SCY - FLO'!$A$4:$M$108,IF($D$245="A1",2,IF($D$245="A",5,IF($D$245="B",8,11))))+E275/(0.92*1000),VLOOKUP(D275,'Estratos SCX - ISA'!$A$3:$M$107,IF($D$245="A1",2,IF($D$245="A",5,IF($D$245="B",8,11))))+E275/(0.92*1000))))),IF(OR($D$239="",$D$245=""),"",IF(OR(D275&gt;$D$246,E275&gt;$D$247),"Rev. Total. abona.",IF(D275="",IF(E275="","",E275/(0.92*1000)),IF(OR($D$239="SAN CRISTOBAL",$D$239="FLOREANA"),VLOOKUP(D275,'Estratos SCY - FLO'!$O$4:$S$108,IF($D$245="A1",2,IF($D$245="A",3,IF($D$245="B",4,5))))+E275/(0.92*1000),VLOOKUP(D275,'Estratos SCX - ISA'!$O$4:$S$108,IF($D$245="A1",2,IF($D$245="A",3,IF($D$245="B",4,5))))+E275/(0.92*1000)))))))</f>
        <v/>
      </c>
      <c r="G275" s="59" t="str">
        <f t="shared" si="39"/>
        <v/>
      </c>
      <c r="H275" s="183"/>
      <c r="I275" s="183"/>
      <c r="J275" s="59" t="str">
        <f>IF(OR(H275="",$D$10="",$N$10=""),"",IF($D$10="COBRE",VLOOKUP(CDV_PROY_BT!H275,FDV!$B$16:$E$24,IF(CDV_PROY_BT!$N$10="3F",3,4),FALSE),IF($D$10="ACS",VLOOKUP(CDV_PROY_BT!H275,FDV!$B$10:$E$15,IF(CDV_PROY_BT!$N$10="3F",3,4),FALSE),IF($D$10="5005 (PREENSAMBLADO)",VLOOKUP(CDV_PROY_BT!H275,FDV!$B$4:$E$9,IF(CDV_PROY_BT!$N$10="3F",3,4),FALSE),VLOOKUP(CDV_PROY_BT!H275,FDV!$B$25:$E$30,IF(CDV_PROY_BT!$N$10="3F",3,4),FALSE)))))</f>
        <v/>
      </c>
      <c r="K275" s="63" t="str">
        <f t="shared" si="36"/>
        <v/>
      </c>
      <c r="L275" s="62" t="str">
        <f t="shared" si="40"/>
        <v/>
      </c>
      <c r="M275" s="62" t="str">
        <f t="shared" si="41"/>
        <v/>
      </c>
      <c r="N275" s="155"/>
      <c r="U275" s="138">
        <f t="shared" si="37"/>
        <v>0</v>
      </c>
      <c r="V275" s="138">
        <f t="shared" si="38"/>
        <v>0</v>
      </c>
    </row>
    <row r="276" spans="1:22" hidden="1" x14ac:dyDescent="0.25">
      <c r="A276" s="167"/>
      <c r="B276" s="168"/>
      <c r="C276" s="169"/>
      <c r="D276" s="169"/>
      <c r="E276" s="170"/>
      <c r="F276" s="58" t="str">
        <f>IF($N$241="","",IF($N$241="INDUSTRIAL",IF(OR($D$239="",$D$245=""),"",IF(OR(D276&gt;$D$246,E276&gt;$D$247),"Rev. Total. abona.",IF(D276="",IF(E276="","",E276/(0.92*1000)),IF(OR($D$239="SAN CRISTOBAL",$D$239="FLOREANA"),VLOOKUP(D276,'Estratos SCY - FLO'!$A$4:$M$108,IF($D$245="A1",2,IF($D$245="A",5,IF($D$245="B",8,11))))+E276/(0.92*1000),VLOOKUP(D276,'Estratos SCX - ISA'!$A$3:$M$107,IF($D$245="A1",2,IF($D$245="A",5,IF($D$245="B",8,11))))+E276/(0.92*1000))))),IF(OR($D$239="",$D$245=""),"",IF(OR(D276&gt;$D$246,E276&gt;$D$247),"Rev. Total. abona.",IF(D276="",IF(E276="","",E276/(0.92*1000)),IF(OR($D$239="SAN CRISTOBAL",$D$239="FLOREANA"),VLOOKUP(D276,'Estratos SCY - FLO'!$O$4:$S$108,IF($D$245="A1",2,IF($D$245="A",3,IF($D$245="B",4,5))))+E276/(0.92*1000),VLOOKUP(D276,'Estratos SCX - ISA'!$O$4:$S$108,IF($D$245="A1",2,IF($D$245="A",3,IF($D$245="B",4,5))))+E276/(0.92*1000)))))))</f>
        <v/>
      </c>
      <c r="G276" s="59" t="str">
        <f t="shared" si="39"/>
        <v/>
      </c>
      <c r="H276" s="183"/>
      <c r="I276" s="183"/>
      <c r="J276" s="59" t="str">
        <f>IF(OR(H276="",$D$10="",$N$10=""),"",IF($D$10="COBRE",VLOOKUP(CDV_PROY_BT!H276,FDV!$B$16:$E$24,IF(CDV_PROY_BT!$N$10="3F",3,4),FALSE),IF($D$10="ACS",VLOOKUP(CDV_PROY_BT!H276,FDV!$B$10:$E$15,IF(CDV_PROY_BT!$N$10="3F",3,4),FALSE),IF($D$10="5005 (PREENSAMBLADO)",VLOOKUP(CDV_PROY_BT!H276,FDV!$B$4:$E$9,IF(CDV_PROY_BT!$N$10="3F",3,4),FALSE),VLOOKUP(CDV_PROY_BT!H276,FDV!$B$25:$E$30,IF(CDV_PROY_BT!$N$10="3F",3,4),FALSE)))))</f>
        <v/>
      </c>
      <c r="K276" s="63" t="str">
        <f t="shared" si="36"/>
        <v/>
      </c>
      <c r="L276" s="62" t="str">
        <f t="shared" si="40"/>
        <v/>
      </c>
      <c r="M276" s="62" t="str">
        <f t="shared" si="41"/>
        <v/>
      </c>
      <c r="N276" s="155"/>
      <c r="U276" s="138">
        <f t="shared" si="37"/>
        <v>0</v>
      </c>
      <c r="V276" s="138">
        <f t="shared" si="38"/>
        <v>0</v>
      </c>
    </row>
    <row r="277" spans="1:22" hidden="1" x14ac:dyDescent="0.25">
      <c r="A277" s="167"/>
      <c r="B277" s="168"/>
      <c r="C277" s="169"/>
      <c r="D277" s="169"/>
      <c r="E277" s="170"/>
      <c r="F277" s="58" t="str">
        <f>IF($N$241="","",IF($N$241="INDUSTRIAL",IF(OR($D$239="",$D$245=""),"",IF(OR(D277&gt;$D$246,E277&gt;$D$247),"Rev. Total. abona.",IF(D277="",IF(E277="","",E277/(0.92*1000)),IF(OR($D$239="SAN CRISTOBAL",$D$239="FLOREANA"),VLOOKUP(D277,'Estratos SCY - FLO'!$A$4:$M$108,IF($D$245="A1",2,IF($D$245="A",5,IF($D$245="B",8,11))))+E277/(0.92*1000),VLOOKUP(D277,'Estratos SCX - ISA'!$A$3:$M$107,IF($D$245="A1",2,IF($D$245="A",5,IF($D$245="B",8,11))))+E277/(0.92*1000))))),IF(OR($D$239="",$D$245=""),"",IF(OR(D277&gt;$D$246,E277&gt;$D$247),"Rev. Total. abona.",IF(D277="",IF(E277="","",E277/(0.92*1000)),IF(OR($D$239="SAN CRISTOBAL",$D$239="FLOREANA"),VLOOKUP(D277,'Estratos SCY - FLO'!$O$4:$S$108,IF($D$245="A1",2,IF($D$245="A",3,IF($D$245="B",4,5))))+E277/(0.92*1000),VLOOKUP(D277,'Estratos SCX - ISA'!$O$4:$S$108,IF($D$245="A1",2,IF($D$245="A",3,IF($D$245="B",4,5))))+E277/(0.92*1000)))))))</f>
        <v/>
      </c>
      <c r="G277" s="59" t="str">
        <f t="shared" si="39"/>
        <v/>
      </c>
      <c r="H277" s="183"/>
      <c r="I277" s="183"/>
      <c r="J277" s="59" t="str">
        <f>IF(OR(H277="",$D$10="",$N$10=""),"",IF($D$10="COBRE",VLOOKUP(CDV_PROY_BT!H277,FDV!$B$16:$E$24,IF(CDV_PROY_BT!$N$10="3F",3,4),FALSE),IF($D$10="ACS",VLOOKUP(CDV_PROY_BT!H277,FDV!$B$10:$E$15,IF(CDV_PROY_BT!$N$10="3F",3,4),FALSE),IF($D$10="5005 (PREENSAMBLADO)",VLOOKUP(CDV_PROY_BT!H277,FDV!$B$4:$E$9,IF(CDV_PROY_BT!$N$10="3F",3,4),FALSE),VLOOKUP(CDV_PROY_BT!H277,FDV!$B$25:$E$30,IF(CDV_PROY_BT!$N$10="3F",3,4),FALSE)))))</f>
        <v/>
      </c>
      <c r="K277" s="63" t="str">
        <f t="shared" si="36"/>
        <v/>
      </c>
      <c r="L277" s="62" t="str">
        <f t="shared" si="40"/>
        <v/>
      </c>
      <c r="M277" s="62" t="str">
        <f t="shared" si="41"/>
        <v/>
      </c>
      <c r="N277" s="155"/>
      <c r="U277" s="138">
        <f t="shared" si="37"/>
        <v>0</v>
      </c>
      <c r="V277" s="138">
        <f t="shared" si="38"/>
        <v>0</v>
      </c>
    </row>
    <row r="278" spans="1:22" hidden="1" x14ac:dyDescent="0.25">
      <c r="A278" s="167"/>
      <c r="B278" s="168"/>
      <c r="C278" s="169"/>
      <c r="D278" s="169"/>
      <c r="E278" s="170"/>
      <c r="F278" s="58" t="str">
        <f>IF($N$241="","",IF($N$241="INDUSTRIAL",IF(OR($D$239="",$D$245=""),"",IF(OR(D278&gt;$D$246,E278&gt;$D$247),"Rev. Total. abona.",IF(D278="",IF(E278="","",E278/(0.92*1000)),IF(OR($D$239="SAN CRISTOBAL",$D$239="FLOREANA"),VLOOKUP(D278,'Estratos SCY - FLO'!$A$4:$M$108,IF($D$245="A1",2,IF($D$245="A",5,IF($D$245="B",8,11))))+E278/(0.92*1000),VLOOKUP(D278,'Estratos SCX - ISA'!$A$3:$M$107,IF($D$245="A1",2,IF($D$245="A",5,IF($D$245="B",8,11))))+E278/(0.92*1000))))),IF(OR($D$239="",$D$245=""),"",IF(OR(D278&gt;$D$246,E278&gt;$D$247),"Rev. Total. abona.",IF(D278="",IF(E278="","",E278/(0.92*1000)),IF(OR($D$239="SAN CRISTOBAL",$D$239="FLOREANA"),VLOOKUP(D278,'Estratos SCY - FLO'!$O$4:$S$108,IF($D$245="A1",2,IF($D$245="A",3,IF($D$245="B",4,5))))+E278/(0.92*1000),VLOOKUP(D278,'Estratos SCX - ISA'!$O$4:$S$108,IF($D$245="A1",2,IF($D$245="A",3,IF($D$245="B",4,5))))+E278/(0.92*1000)))))))</f>
        <v/>
      </c>
      <c r="G278" s="59" t="str">
        <f t="shared" si="39"/>
        <v/>
      </c>
      <c r="H278" s="183"/>
      <c r="I278" s="183"/>
      <c r="J278" s="59" t="str">
        <f>IF(OR(H278="",$D$10="",$N$10=""),"",IF($D$10="COBRE",VLOOKUP(CDV_PROY_BT!H278,FDV!$B$16:$E$24,IF(CDV_PROY_BT!$N$10="3F",3,4),FALSE),IF($D$10="ACS",VLOOKUP(CDV_PROY_BT!H278,FDV!$B$10:$E$15,IF(CDV_PROY_BT!$N$10="3F",3,4),FALSE),IF($D$10="5005 (PREENSAMBLADO)",VLOOKUP(CDV_PROY_BT!H278,FDV!$B$4:$E$9,IF(CDV_PROY_BT!$N$10="3F",3,4),FALSE),VLOOKUP(CDV_PROY_BT!H278,FDV!$B$25:$E$30,IF(CDV_PROY_BT!$N$10="3F",3,4),FALSE)))))</f>
        <v/>
      </c>
      <c r="K278" s="63" t="str">
        <f t="shared" si="36"/>
        <v/>
      </c>
      <c r="L278" s="62" t="str">
        <f t="shared" si="40"/>
        <v/>
      </c>
      <c r="M278" s="62" t="str">
        <f t="shared" si="41"/>
        <v/>
      </c>
      <c r="N278" s="155"/>
      <c r="U278" s="138">
        <f t="shared" si="37"/>
        <v>0</v>
      </c>
      <c r="V278" s="138">
        <f t="shared" si="38"/>
        <v>0</v>
      </c>
    </row>
    <row r="279" spans="1:22" hidden="1" x14ac:dyDescent="0.25">
      <c r="A279" s="167"/>
      <c r="B279" s="168"/>
      <c r="C279" s="169"/>
      <c r="D279" s="169"/>
      <c r="E279" s="170"/>
      <c r="F279" s="58" t="str">
        <f>IF($N$241="","",IF($N$241="INDUSTRIAL",IF(OR($D$239="",$D$245=""),"",IF(OR(D279&gt;$D$246,E279&gt;$D$247),"Rev. Total. abona.",IF(D279="",IF(E279="","",E279/(0.92*1000)),IF(OR($D$239="SAN CRISTOBAL",$D$239="FLOREANA"),VLOOKUP(D279,'Estratos SCY - FLO'!$A$4:$M$108,IF($D$245="A1",2,IF($D$245="A",5,IF($D$245="B",8,11))))+E279/(0.92*1000),VLOOKUP(D279,'Estratos SCX - ISA'!$A$3:$M$107,IF($D$245="A1",2,IF($D$245="A",5,IF($D$245="B",8,11))))+E279/(0.92*1000))))),IF(OR($D$239="",$D$245=""),"",IF(OR(D279&gt;$D$246,E279&gt;$D$247),"Rev. Total. abona.",IF(D279="",IF(E279="","",E279/(0.92*1000)),IF(OR($D$239="SAN CRISTOBAL",$D$239="FLOREANA"),VLOOKUP(D279,'Estratos SCY - FLO'!$O$4:$S$108,IF($D$245="A1",2,IF($D$245="A",3,IF($D$245="B",4,5))))+E279/(0.92*1000),VLOOKUP(D279,'Estratos SCX - ISA'!$O$4:$S$108,IF($D$245="A1",2,IF($D$245="A",3,IF($D$245="B",4,5))))+E279/(0.92*1000)))))))</f>
        <v/>
      </c>
      <c r="G279" s="59" t="str">
        <f t="shared" si="39"/>
        <v/>
      </c>
      <c r="H279" s="183"/>
      <c r="I279" s="183"/>
      <c r="J279" s="59" t="str">
        <f>IF(OR(H279="",$D$10="",$N$10=""),"",IF($D$10="COBRE",VLOOKUP(CDV_PROY_BT!H279,FDV!$B$16:$E$24,IF(CDV_PROY_BT!$N$10="3F",3,4),FALSE),IF($D$10="ACS",VLOOKUP(CDV_PROY_BT!H279,FDV!$B$10:$E$15,IF(CDV_PROY_BT!$N$10="3F",3,4),FALSE),IF($D$10="5005 (PREENSAMBLADO)",VLOOKUP(CDV_PROY_BT!H279,FDV!$B$4:$E$9,IF(CDV_PROY_BT!$N$10="3F",3,4),FALSE),VLOOKUP(CDV_PROY_BT!H279,FDV!$B$25:$E$30,IF(CDV_PROY_BT!$N$10="3F",3,4),FALSE)))))</f>
        <v/>
      </c>
      <c r="K279" s="63" t="str">
        <f t="shared" si="36"/>
        <v/>
      </c>
      <c r="L279" s="62" t="str">
        <f t="shared" si="40"/>
        <v/>
      </c>
      <c r="M279" s="62" t="str">
        <f t="shared" si="41"/>
        <v/>
      </c>
      <c r="N279" s="155"/>
      <c r="U279" s="138">
        <f t="shared" si="37"/>
        <v>0</v>
      </c>
      <c r="V279" s="138">
        <f t="shared" si="38"/>
        <v>0</v>
      </c>
    </row>
    <row r="280" spans="1:22" hidden="1" x14ac:dyDescent="0.25">
      <c r="A280" s="167"/>
      <c r="B280" s="168"/>
      <c r="C280" s="169"/>
      <c r="D280" s="169"/>
      <c r="E280" s="170"/>
      <c r="F280" s="58" t="str">
        <f>IF($N$241="","",IF($N$241="INDUSTRIAL",IF(OR($D$239="",$D$245=""),"",IF(OR(D280&gt;$D$246,E280&gt;$D$247),"Rev. Total. abona.",IF(D280="",IF(E280="","",E280/(0.92*1000)),IF(OR($D$239="SAN CRISTOBAL",$D$239="FLOREANA"),VLOOKUP(D280,'Estratos SCY - FLO'!$A$4:$M$108,IF($D$245="A1",2,IF($D$245="A",5,IF($D$245="B",8,11))))+E280/(0.92*1000),VLOOKUP(D280,'Estratos SCX - ISA'!$A$3:$M$107,IF($D$245="A1",2,IF($D$245="A",5,IF($D$245="B",8,11))))+E280/(0.92*1000))))),IF(OR($D$239="",$D$245=""),"",IF(OR(D280&gt;$D$246,E280&gt;$D$247),"Rev. Total. abona.",IF(D280="",IF(E280="","",E280/(0.92*1000)),IF(OR($D$239="SAN CRISTOBAL",$D$239="FLOREANA"),VLOOKUP(D280,'Estratos SCY - FLO'!$O$4:$S$108,IF($D$245="A1",2,IF($D$245="A",3,IF($D$245="B",4,5))))+E280/(0.92*1000),VLOOKUP(D280,'Estratos SCX - ISA'!$O$4:$S$108,IF($D$245="A1",2,IF($D$245="A",3,IF($D$245="B",4,5))))+E280/(0.92*1000)))))))</f>
        <v/>
      </c>
      <c r="G280" s="59" t="str">
        <f t="shared" si="39"/>
        <v/>
      </c>
      <c r="H280" s="183"/>
      <c r="I280" s="183"/>
      <c r="J280" s="59" t="str">
        <f>IF(OR(H280="",$D$10="",$N$10=""),"",IF($D$10="COBRE",VLOOKUP(CDV_PROY_BT!H280,FDV!$B$16:$E$24,IF(CDV_PROY_BT!$N$10="3F",3,4),FALSE),IF($D$10="ACS",VLOOKUP(CDV_PROY_BT!H280,FDV!$B$10:$E$15,IF(CDV_PROY_BT!$N$10="3F",3,4),FALSE),IF($D$10="5005 (PREENSAMBLADO)",VLOOKUP(CDV_PROY_BT!H280,FDV!$B$4:$E$9,IF(CDV_PROY_BT!$N$10="3F",3,4),FALSE),VLOOKUP(CDV_PROY_BT!H280,FDV!$B$25:$E$30,IF(CDV_PROY_BT!$N$10="3F",3,4),FALSE)))))</f>
        <v/>
      </c>
      <c r="K280" s="63" t="str">
        <f t="shared" si="36"/>
        <v/>
      </c>
      <c r="L280" s="62" t="str">
        <f t="shared" si="40"/>
        <v/>
      </c>
      <c r="M280" s="62" t="str">
        <f t="shared" si="41"/>
        <v/>
      </c>
      <c r="N280" s="155"/>
      <c r="U280" s="138">
        <f t="shared" si="37"/>
        <v>0</v>
      </c>
      <c r="V280" s="138">
        <f t="shared" si="38"/>
        <v>0</v>
      </c>
    </row>
    <row r="281" spans="1:22" hidden="1" x14ac:dyDescent="0.25">
      <c r="A281" s="167"/>
      <c r="B281" s="168"/>
      <c r="C281" s="169"/>
      <c r="D281" s="169"/>
      <c r="E281" s="170"/>
      <c r="F281" s="58" t="str">
        <f>IF($N$241="","",IF($N$241="INDUSTRIAL",IF(OR($D$239="",$D$245=""),"",IF(OR(D281&gt;$D$246,E281&gt;$D$247),"Rev. Total. abona.",IF(D281="",IF(E281="","",E281/(0.92*1000)),IF(OR($D$239="SAN CRISTOBAL",$D$239="FLOREANA"),VLOOKUP(D281,'Estratos SCY - FLO'!$A$4:$M$108,IF($D$245="A1",2,IF($D$245="A",5,IF($D$245="B",8,11))))+E281/(0.92*1000),VLOOKUP(D281,'Estratos SCX - ISA'!$A$3:$M$107,IF($D$245="A1",2,IF($D$245="A",5,IF($D$245="B",8,11))))+E281/(0.92*1000))))),IF(OR($D$239="",$D$245=""),"",IF(OR(D281&gt;$D$246,E281&gt;$D$247),"Rev. Total. abona.",IF(D281="",IF(E281="","",E281/(0.92*1000)),IF(OR($D$239="SAN CRISTOBAL",$D$239="FLOREANA"),VLOOKUP(D281,'Estratos SCY - FLO'!$O$4:$S$108,IF($D$245="A1",2,IF($D$245="A",3,IF($D$245="B",4,5))))+E281/(0.92*1000),VLOOKUP(D281,'Estratos SCX - ISA'!$O$4:$S$108,IF($D$245="A1",2,IF($D$245="A",3,IF($D$245="B",4,5))))+E281/(0.92*1000)))))))</f>
        <v/>
      </c>
      <c r="G281" s="59" t="str">
        <f t="shared" si="39"/>
        <v/>
      </c>
      <c r="H281" s="183"/>
      <c r="I281" s="183"/>
      <c r="J281" s="59" t="str">
        <f>IF(OR(H281="",$D$10="",$N$10=""),"",IF($D$10="COBRE",VLOOKUP(CDV_PROY_BT!H281,FDV!$B$16:$E$24,IF(CDV_PROY_BT!$N$10="3F",3,4),FALSE),IF($D$10="ACS",VLOOKUP(CDV_PROY_BT!H281,FDV!$B$10:$E$15,IF(CDV_PROY_BT!$N$10="3F",3,4),FALSE),IF($D$10="5005 (PREENSAMBLADO)",VLOOKUP(CDV_PROY_BT!H281,FDV!$B$4:$E$9,IF(CDV_PROY_BT!$N$10="3F",3,4),FALSE),VLOOKUP(CDV_PROY_BT!H281,FDV!$B$25:$E$30,IF(CDV_PROY_BT!$N$10="3F",3,4),FALSE)))))</f>
        <v/>
      </c>
      <c r="K281" s="63" t="str">
        <f t="shared" si="36"/>
        <v/>
      </c>
      <c r="L281" s="62" t="str">
        <f t="shared" si="40"/>
        <v/>
      </c>
      <c r="M281" s="62" t="str">
        <f t="shared" si="41"/>
        <v/>
      </c>
      <c r="N281" s="156"/>
      <c r="U281" s="138">
        <f t="shared" si="37"/>
        <v>0</v>
      </c>
      <c r="V281" s="138">
        <f t="shared" si="38"/>
        <v>0</v>
      </c>
    </row>
    <row r="282" spans="1:22" ht="15.75" hidden="1" thickBot="1" x14ac:dyDescent="0.3">
      <c r="A282" s="178"/>
      <c r="B282" s="179"/>
      <c r="C282" s="180"/>
      <c r="D282" s="180"/>
      <c r="E282" s="181"/>
      <c r="F282" s="68" t="str">
        <f>IF($N$241="","",IF($N$241="INDUSTRIAL",IF(OR($D$239="",$D$245=""),"",IF(OR(D282&gt;$D$246,E282&gt;$D$247),"Rev. Total. abona.",IF(D282="",IF(E282="","",E282/(0.92*1000)),IF(OR($D$239="SAN CRISTOBAL",$D$239="FLOREANA"),VLOOKUP(D282,'Estratos SCY - FLO'!$A$4:$M$108,IF($D$245="A1",2,IF($D$245="A",5,IF($D$245="B",8,11))))+E282/(0.92*1000),VLOOKUP(D282,'Estratos SCX - ISA'!$A$3:$M$107,IF($D$245="A1",2,IF($D$245="A",5,IF($D$245="B",8,11))))+E282/(0.92*1000))))),IF(OR($D$239="",$D$245=""),"",IF(OR(D282&gt;$D$246,E282&gt;$D$247),"Rev. Total. abona.",IF(D282="",IF(E282="","",E282/(0.92*1000)),IF(OR($D$239="SAN CRISTOBAL",$D$239="FLOREANA"),VLOOKUP(D282,'Estratos SCY - FLO'!$O$4:$S$108,IF($D$245="A1",2,IF($D$245="A",3,IF($D$245="B",4,5))))+E282/(0.92*1000),VLOOKUP(D282,'Estratos SCX - ISA'!$O$4:$S$108,IF($D$245="A1",2,IF($D$245="A",3,IF($D$245="B",4,5))))+E282/(0.92*1000)))))))</f>
        <v/>
      </c>
      <c r="G282" s="69" t="str">
        <f t="shared" si="39"/>
        <v/>
      </c>
      <c r="H282" s="184"/>
      <c r="I282" s="184"/>
      <c r="J282" s="69" t="str">
        <f>IF(OR(H282="",$D$10="",$N$10=""),"",IF($D$10="COBRE",VLOOKUP(CDV_PROY_BT!H282,FDV!$B$16:$E$24,IF(CDV_PROY_BT!$N$10="3F",3,4),FALSE),IF($D$10="ACS",VLOOKUP(CDV_PROY_BT!H282,FDV!$B$10:$E$15,IF(CDV_PROY_BT!$N$10="3F",3,4),FALSE),IF($D$10="5005 (PREENSAMBLADO)",VLOOKUP(CDV_PROY_BT!H282,FDV!$B$4:$E$9,IF(CDV_PROY_BT!$N$10="3F",3,4),FALSE),VLOOKUP(CDV_PROY_BT!H282,FDV!$B$25:$E$30,IF(CDV_PROY_BT!$N$10="3F",3,4),FALSE)))))</f>
        <v/>
      </c>
      <c r="K282" s="65" t="str">
        <f t="shared" si="36"/>
        <v/>
      </c>
      <c r="L282" s="64" t="str">
        <f t="shared" si="40"/>
        <v/>
      </c>
      <c r="M282" s="64" t="str">
        <f t="shared" si="41"/>
        <v/>
      </c>
      <c r="N282" s="157"/>
      <c r="U282" s="138">
        <f t="shared" si="37"/>
        <v>0</v>
      </c>
      <c r="V282" s="138">
        <f t="shared" si="38"/>
        <v>0</v>
      </c>
    </row>
    <row r="283" spans="1:22" ht="15.75" hidden="1" thickBot="1" x14ac:dyDescent="0.3">
      <c r="A283" s="143"/>
      <c r="B283" s="67" t="str">
        <f>IF(N252="","",N252)</f>
        <v>P32</v>
      </c>
      <c r="C283" s="144"/>
      <c r="D283" s="144"/>
      <c r="E283" s="145"/>
      <c r="F283" s="68" t="str">
        <f>IF($N$241="","",IF($N$241="INDUSTRIAL",IF(OR($D$239="",$D$245=""),"",IF(OR(D283&gt;$D$246,E283&gt;$D$247),"Rev. Total. abona.",IF(D283="",IF(E283="","",E283/(0.92*1000)),IF(OR($D$239="SAN CRISTOBAL",$D$239="FLOREANA"),VLOOKUP(D283,'Estratos SCY - FLO'!$A$4:$M$108,IF($D$245="A1",2,IF($D$245="A",5,IF($D$245="B",8,11))))+E283/(0.92*1000),VLOOKUP(D283,'Estratos SCX - ISA'!$A$3:$M$107,IF($D$245="A1",2,IF($D$245="A",5,IF($D$245="B",8,11))))+E283/(0.92*1000))))),IF(OR($D$239="",$D$245=""),"",IF(OR(D283&gt;$D$246,E283&gt;$D$247),"Rev. Total. abona.",IF(D283="",IF(E283="","",E283/(0.92*1000)),IF(OR($D$239="SAN CRISTOBAL",$D$239="FLOREANA"),VLOOKUP(D283,'Estratos SCY - FLO'!$O$4:$S$108,IF($D$245="A1",2,IF($D$245="A",3,IF($D$245="B",4,5))))+E283/(0.92*1000),VLOOKUP(D283,'Estratos SCX - ISA'!$O$4:$S$108,IF($D$245="A1",2,IF($D$245="A",3,IF($D$245="B",4,5))))+E283/(0.92*1000)))))))</f>
        <v/>
      </c>
      <c r="G283" s="69" t="str">
        <f t="shared" si="39"/>
        <v/>
      </c>
      <c r="H283" s="146" t="e">
        <f>IF(B283="","",IF(B283-A283=1,H282,""))</f>
        <v>#VALUE!</v>
      </c>
      <c r="I283" s="146"/>
      <c r="J283" s="70" t="e">
        <f>IF(OR(H283="",$D$10="",$N$10=""),"",IF($D$10="COBRE",VLOOKUP(CDV_PROY_BT!H283,FDV!$B$16:$E$24,IF(CDV_PROY_BT!$N$10="3F",3,4),FALSE),IF($D$10="ACS",VLOOKUP(CDV_PROY_BT!H283,FDV!$B$10:$E$15,IF(CDV_PROY_BT!$N$10="3F",3,4),FALSE),IF($D$10="5005 (PREENSAMBLADO)",VLOOKUP(CDV_PROY_BT!H283,FDV!$B$4:$E$9,IF(CDV_PROY_BT!$N$10="3F",3,4),FALSE),VLOOKUP(CDV_PROY_BT!H283,FDV!$B$25:$E$30,IF(CDV_PROY_BT!$N$10="3F",3,4),FALSE)))))</f>
        <v>#VALUE!</v>
      </c>
      <c r="K283" s="71" t="str">
        <f t="shared" si="36"/>
        <v/>
      </c>
      <c r="L283" s="68" t="str">
        <f t="shared" ref="L283" si="42">IF(C283="","",ROUND(K283/J283,2))</f>
        <v/>
      </c>
      <c r="M283" s="72">
        <v>0</v>
      </c>
      <c r="N283" s="66"/>
      <c r="U283" s="138">
        <f>+IF(D283&gt;0,C283,0)</f>
        <v>0</v>
      </c>
      <c r="V283" s="138">
        <f>IF(C283="",0,C283*G283)</f>
        <v>0</v>
      </c>
    </row>
    <row r="284" spans="1:22" ht="15.75" hidden="1" thickBot="1" x14ac:dyDescent="0.3">
      <c r="A284" s="73" t="s">
        <v>113</v>
      </c>
      <c r="B284" s="74"/>
      <c r="C284" s="75"/>
      <c r="D284" s="75"/>
      <c r="E284" s="76"/>
      <c r="F284" s="77"/>
      <c r="G284" s="78"/>
      <c r="H284" s="79"/>
      <c r="I284" s="79"/>
      <c r="J284" s="78"/>
      <c r="K284" s="121"/>
      <c r="L284" s="121"/>
      <c r="M284" s="128"/>
      <c r="N284" s="237"/>
      <c r="U284" s="138">
        <f>+IF(D284&gt;0,C284,0)</f>
        <v>0</v>
      </c>
      <c r="V284" s="138">
        <f>IF(C284="",0,C284*G284)</f>
        <v>0</v>
      </c>
    </row>
    <row r="285" spans="1:22" ht="15.75" hidden="1" thickBot="1" x14ac:dyDescent="0.3">
      <c r="A285" s="93" t="s">
        <v>96</v>
      </c>
      <c r="B285" s="94">
        <f>+ROUND(SUMIF(H256:H282,"4/0",V256:V284)*1.015,0)</f>
        <v>0</v>
      </c>
      <c r="C285" s="93" t="s">
        <v>97</v>
      </c>
      <c r="D285" s="94">
        <f>ROUND((SUMIF(H256:H282,"3/0",V256:V284))*1.015,0)</f>
        <v>0</v>
      </c>
      <c r="E285" s="82" t="s">
        <v>95</v>
      </c>
      <c r="F285" s="81">
        <f>ROUND((SUMIF(H256:H282,"2/0",V256:V284))*1.015,0)</f>
        <v>0</v>
      </c>
      <c r="G285" s="80" t="s">
        <v>57</v>
      </c>
      <c r="H285" s="81">
        <f>ROUND((SUMIF(H256:H282,"1/0",V256:V284))*1.015,0)</f>
        <v>93</v>
      </c>
      <c r="I285" s="93" t="s">
        <v>58</v>
      </c>
      <c r="J285" s="94">
        <f>ROUND((SUMIF(H256:H282,"2",V256:V284))*1.015,0)</f>
        <v>0</v>
      </c>
      <c r="K285" s="147"/>
      <c r="L285" s="91"/>
      <c r="M285" s="92"/>
      <c r="N285" s="238"/>
    </row>
    <row r="286" spans="1:22" ht="15.75" hidden="1" thickBot="1" x14ac:dyDescent="0.3">
      <c r="A286" s="119" t="s">
        <v>107</v>
      </c>
      <c r="B286" s="92"/>
      <c r="C286" s="91"/>
      <c r="D286" s="92"/>
      <c r="E286" s="91"/>
      <c r="F286" s="92"/>
      <c r="G286" s="91"/>
      <c r="H286" s="92"/>
      <c r="I286" s="92"/>
      <c r="J286" s="91"/>
      <c r="K286" s="92"/>
      <c r="L286" s="91"/>
      <c r="M286" s="92"/>
      <c r="N286" s="238"/>
    </row>
    <row r="287" spans="1:22" ht="15.75" hidden="1" thickBot="1" x14ac:dyDescent="0.3">
      <c r="A287" s="93" t="s">
        <v>96</v>
      </c>
      <c r="B287" s="94">
        <f>+ROUND(SUMIF(I256:I282,"4/0",U256:U284)*1.015,0)</f>
        <v>0</v>
      </c>
      <c r="C287" s="93" t="s">
        <v>97</v>
      </c>
      <c r="D287" s="94">
        <f>ROUND((SUMIF(I256:I282,"3/0",U256:U284))*1.015,0)</f>
        <v>0</v>
      </c>
      <c r="E287" s="93" t="s">
        <v>95</v>
      </c>
      <c r="F287" s="94">
        <f>ROUND((SUMIF(I256:I282,"2/0",U256:U284))*1.015,0)</f>
        <v>0</v>
      </c>
      <c r="G287" s="93" t="s">
        <v>57</v>
      </c>
      <c r="H287" s="94">
        <f>ROUND((SUMIF(I256:I282,"1/0",U256:U284))*1.015,0)</f>
        <v>93</v>
      </c>
      <c r="I287" s="93" t="s">
        <v>58</v>
      </c>
      <c r="J287" s="94">
        <f>ROUND((SUMIF(I256:I282,"2",U256:U284))*1.015,0)</f>
        <v>0</v>
      </c>
      <c r="L287" s="91"/>
      <c r="M287" s="92"/>
      <c r="N287" s="238"/>
    </row>
    <row r="288" spans="1:22" ht="15.75" hidden="1" thickBot="1" x14ac:dyDescent="0.3">
      <c r="A288" s="239" t="s">
        <v>123</v>
      </c>
      <c r="B288" s="239"/>
      <c r="C288" s="239"/>
      <c r="D288" s="21">
        <f>IF(N243="","",SUM(C256:C282))</f>
        <v>92</v>
      </c>
      <c r="E288" s="28" t="s">
        <v>59</v>
      </c>
      <c r="G288" s="21"/>
      <c r="H288" s="21"/>
      <c r="I288" s="21"/>
      <c r="J288" s="21"/>
      <c r="K288" s="21"/>
      <c r="L288" s="21"/>
      <c r="M288" s="23"/>
      <c r="N288" s="83" t="s">
        <v>80</v>
      </c>
    </row>
    <row r="289" spans="1:31" hidden="1" x14ac:dyDescent="0.25">
      <c r="A289" s="36" t="s">
        <v>60</v>
      </c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1"/>
      <c r="N289" s="84" t="s">
        <v>61</v>
      </c>
    </row>
    <row r="290" spans="1:31" ht="15.75" hidden="1" thickBot="1" x14ac:dyDescent="0.3">
      <c r="A290" s="148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3"/>
      <c r="N290" s="85">
        <f>MAX(N256:N282)</f>
        <v>2.0299999999999998</v>
      </c>
    </row>
    <row r="291" spans="1:31" ht="15.75" hidden="1" thickBot="1" x14ac:dyDescent="0.3"/>
    <row r="292" spans="1:31" ht="15.75" hidden="1" thickBot="1" x14ac:dyDescent="0.3">
      <c r="A292" s="18"/>
      <c r="B292" s="18"/>
      <c r="C292" s="19"/>
      <c r="D292" s="19"/>
      <c r="E292" s="19"/>
      <c r="F292" s="20"/>
      <c r="G292" s="18"/>
      <c r="H292" s="18"/>
      <c r="I292" s="18"/>
      <c r="J292" s="19"/>
      <c r="K292" s="18"/>
      <c r="L292" s="18"/>
      <c r="M292" s="131" t="s">
        <v>122</v>
      </c>
      <c r="N292" s="161" t="s">
        <v>199</v>
      </c>
    </row>
    <row r="293" spans="1:31" ht="18" hidden="1" x14ac:dyDescent="0.25">
      <c r="A293" s="260" t="s">
        <v>62</v>
      </c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</row>
    <row r="294" spans="1:31" ht="18" hidden="1" x14ac:dyDescent="0.25">
      <c r="A294" s="192"/>
      <c r="B294" s="192"/>
      <c r="C294" s="192"/>
      <c r="D294" s="192"/>
      <c r="E294" s="192"/>
      <c r="F294" s="22" t="s">
        <v>111</v>
      </c>
      <c r="G294" s="192"/>
      <c r="H294" s="192"/>
      <c r="I294" s="192"/>
      <c r="J294" s="192"/>
      <c r="K294" s="192"/>
      <c r="L294" s="192"/>
      <c r="M294" s="192"/>
      <c r="N294" s="87"/>
    </row>
    <row r="295" spans="1:31" ht="15.75" hidden="1" x14ac:dyDescent="0.25">
      <c r="A295" s="261" t="s">
        <v>112</v>
      </c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U295" s="138" t="s">
        <v>63</v>
      </c>
      <c r="W295" s="138" t="s">
        <v>24</v>
      </c>
      <c r="Y295" s="138" t="s">
        <v>69</v>
      </c>
      <c r="AA295" s="138" t="s">
        <v>72</v>
      </c>
      <c r="AB295" s="138" t="s">
        <v>77</v>
      </c>
      <c r="AC295" s="138" t="s">
        <v>79</v>
      </c>
      <c r="AD295" s="138" t="s">
        <v>160</v>
      </c>
      <c r="AE295" s="138" t="s">
        <v>166</v>
      </c>
    </row>
    <row r="296" spans="1:31" ht="16.5" hidden="1" thickBot="1" x14ac:dyDescent="0.3">
      <c r="A296" s="24"/>
      <c r="B296" s="18"/>
      <c r="C296" s="19"/>
      <c r="D296" s="19"/>
      <c r="E296" s="19"/>
      <c r="F296" s="20"/>
      <c r="G296" s="20"/>
      <c r="H296" s="18"/>
      <c r="I296" s="18"/>
      <c r="J296" s="18"/>
      <c r="K296" s="19"/>
      <c r="L296" s="18"/>
      <c r="M296" s="18"/>
      <c r="N296" s="23"/>
      <c r="U296" s="138" t="s">
        <v>64</v>
      </c>
      <c r="W296" s="138" t="s">
        <v>82</v>
      </c>
      <c r="Y296" s="138" t="s">
        <v>70</v>
      </c>
      <c r="AA296" s="138" t="s">
        <v>73</v>
      </c>
      <c r="AB296" s="138" t="s">
        <v>29</v>
      </c>
      <c r="AC296" s="139">
        <v>2</v>
      </c>
      <c r="AD296" s="138" t="s">
        <v>161</v>
      </c>
      <c r="AE296" s="138">
        <v>0.65</v>
      </c>
    </row>
    <row r="297" spans="1:31" ht="15.75" hidden="1" thickBot="1" x14ac:dyDescent="0.3">
      <c r="A297" s="25" t="s">
        <v>23</v>
      </c>
      <c r="B297" s="26"/>
      <c r="C297" s="88"/>
      <c r="D297" s="250" t="s">
        <v>64</v>
      </c>
      <c r="E297" s="250"/>
      <c r="F297" s="262" t="s">
        <v>92</v>
      </c>
      <c r="G297" s="263"/>
      <c r="H297" s="264" t="e">
        <f>+H239</f>
        <v>#REF!</v>
      </c>
      <c r="I297" s="265"/>
      <c r="J297" s="266"/>
      <c r="K297" s="267" t="s">
        <v>81</v>
      </c>
      <c r="L297" s="268"/>
      <c r="M297" s="269" t="e">
        <f>+M239</f>
        <v>#REF!</v>
      </c>
      <c r="N297" s="270"/>
      <c r="U297" s="138" t="s">
        <v>65</v>
      </c>
      <c r="W297" s="138" t="s">
        <v>83</v>
      </c>
      <c r="Y297" s="138" t="s">
        <v>7</v>
      </c>
      <c r="AA297" s="138" t="s">
        <v>76</v>
      </c>
      <c r="AB297" s="138" t="s">
        <v>78</v>
      </c>
      <c r="AC297" s="139" t="s">
        <v>0</v>
      </c>
      <c r="AD297" s="138" t="s">
        <v>162</v>
      </c>
      <c r="AE297" s="138">
        <v>0.7</v>
      </c>
    </row>
    <row r="298" spans="1:31" ht="15.75" hidden="1" thickBot="1" x14ac:dyDescent="0.3">
      <c r="A298" s="21"/>
      <c r="B298" s="21"/>
      <c r="C298" s="21"/>
      <c r="D298" s="21"/>
      <c r="E298" s="21"/>
      <c r="F298" s="28"/>
      <c r="G298" s="28"/>
      <c r="H298" s="21"/>
      <c r="I298" s="21"/>
      <c r="J298" s="21"/>
      <c r="K298" s="21"/>
      <c r="L298" s="21"/>
      <c r="M298" s="21"/>
      <c r="N298" s="23"/>
      <c r="U298" s="138" t="s">
        <v>66</v>
      </c>
      <c r="W298" s="138" t="s">
        <v>68</v>
      </c>
      <c r="Y298" s="138" t="s">
        <v>27</v>
      </c>
      <c r="AA298" s="138" t="s">
        <v>74</v>
      </c>
      <c r="AC298" s="139" t="s">
        <v>1</v>
      </c>
      <c r="AD298" s="138" t="s">
        <v>163</v>
      </c>
      <c r="AE298" s="138">
        <v>0.8</v>
      </c>
    </row>
    <row r="299" spans="1:31" ht="15.75" hidden="1" thickBot="1" x14ac:dyDescent="0.3">
      <c r="A299" s="25" t="s">
        <v>24</v>
      </c>
      <c r="B299" s="26"/>
      <c r="C299" s="26"/>
      <c r="D299" s="249" t="s">
        <v>68</v>
      </c>
      <c r="E299" s="250"/>
      <c r="F299" s="251"/>
      <c r="G299" s="26"/>
      <c r="H299" s="29"/>
      <c r="I299" s="29"/>
      <c r="J299" s="26"/>
      <c r="K299" s="26"/>
      <c r="L299" s="26" t="s">
        <v>164</v>
      </c>
      <c r="M299" s="26"/>
      <c r="N299" s="211" t="s">
        <v>163</v>
      </c>
      <c r="U299" s="138" t="s">
        <v>67</v>
      </c>
      <c r="Y299" s="138" t="s">
        <v>9</v>
      </c>
      <c r="AA299" s="138" t="s">
        <v>75</v>
      </c>
      <c r="AC299" s="139" t="s">
        <v>2</v>
      </c>
      <c r="AE299" s="138">
        <v>0.9</v>
      </c>
    </row>
    <row r="300" spans="1:31" ht="15.75" hidden="1" thickBot="1" x14ac:dyDescent="0.3">
      <c r="A300" s="23" t="s">
        <v>25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 t="s">
        <v>168</v>
      </c>
      <c r="L300" s="208"/>
      <c r="M300" s="23"/>
      <c r="N300" s="43" t="str">
        <f>IF(N301="","",IF(N301="3F","220 / 127 V","240 / 120 V"))</f>
        <v>220 / 127 V</v>
      </c>
      <c r="AC300" s="141" t="s">
        <v>3</v>
      </c>
      <c r="AE300" s="138">
        <v>1</v>
      </c>
    </row>
    <row r="301" spans="1:31" ht="15.75" hidden="1" thickBot="1" x14ac:dyDescent="0.3">
      <c r="A301" s="30" t="s">
        <v>26</v>
      </c>
      <c r="B301" s="18"/>
      <c r="C301" s="23"/>
      <c r="D301" s="252" t="s">
        <v>70</v>
      </c>
      <c r="E301" s="253"/>
      <c r="F301" s="18"/>
      <c r="G301" s="18"/>
      <c r="H301" s="18"/>
      <c r="I301" s="18"/>
      <c r="J301" s="18"/>
      <c r="K301" s="23"/>
      <c r="L301" s="18" t="s">
        <v>169</v>
      </c>
      <c r="M301" s="18"/>
      <c r="N301" s="151" t="s">
        <v>78</v>
      </c>
      <c r="U301" s="138" t="s">
        <v>64</v>
      </c>
      <c r="W301" s="138" t="s">
        <v>29</v>
      </c>
      <c r="X301" s="138" t="s">
        <v>78</v>
      </c>
    </row>
    <row r="302" spans="1:31" ht="15.75" hidden="1" thickBot="1" x14ac:dyDescent="0.3">
      <c r="A302" s="23"/>
      <c r="B302" s="31"/>
      <c r="C302" s="23"/>
      <c r="D302" s="19"/>
      <c r="E302" s="32"/>
      <c r="F302" s="32"/>
      <c r="G302" s="20"/>
      <c r="H302" s="20"/>
      <c r="I302" s="20"/>
      <c r="J302" s="33"/>
      <c r="K302" s="21" t="s">
        <v>165</v>
      </c>
      <c r="L302" s="35"/>
      <c r="M302" s="18"/>
      <c r="N302" s="209">
        <v>0.65</v>
      </c>
      <c r="U302" s="138" t="s">
        <v>84</v>
      </c>
      <c r="W302" s="138">
        <v>10</v>
      </c>
      <c r="X302" s="138">
        <v>30</v>
      </c>
    </row>
    <row r="303" spans="1:31" ht="15.75" hidden="1" thickBot="1" x14ac:dyDescent="0.3">
      <c r="A303" s="36" t="s">
        <v>71</v>
      </c>
      <c r="B303" s="37"/>
      <c r="C303" s="37"/>
      <c r="D303" s="150" t="s">
        <v>73</v>
      </c>
      <c r="E303" s="38"/>
      <c r="F303" s="39"/>
      <c r="G303" s="39"/>
      <c r="H303" s="39"/>
      <c r="I303" s="39"/>
      <c r="J303" s="37"/>
      <c r="K303" s="36"/>
      <c r="L303" s="37"/>
      <c r="M303" s="89" t="s">
        <v>30</v>
      </c>
      <c r="N303" s="190" t="s">
        <v>143</v>
      </c>
      <c r="U303" s="138" t="s">
        <v>85</v>
      </c>
      <c r="W303" s="138">
        <v>15</v>
      </c>
      <c r="X303" s="138">
        <v>50</v>
      </c>
    </row>
    <row r="304" spans="1:31" ht="15.75" hidden="1" thickBot="1" x14ac:dyDescent="0.3">
      <c r="A304" s="41" t="s">
        <v>31</v>
      </c>
      <c r="B304" s="21"/>
      <c r="C304" s="21"/>
      <c r="D304" s="150">
        <v>18</v>
      </c>
      <c r="E304" s="21"/>
      <c r="F304" s="28"/>
      <c r="G304" s="42" t="s">
        <v>32</v>
      </c>
      <c r="H304" s="254" t="e">
        <f>+H246</f>
        <v>#REF!</v>
      </c>
      <c r="I304" s="255"/>
      <c r="J304" s="255"/>
      <c r="K304" s="41"/>
      <c r="L304" s="21"/>
      <c r="M304" s="115" t="s">
        <v>93</v>
      </c>
      <c r="N304" s="210">
        <f>+N305/N302</f>
        <v>113.5188169797801</v>
      </c>
      <c r="U304" s="138" t="s">
        <v>86</v>
      </c>
      <c r="W304" s="138">
        <v>25</v>
      </c>
      <c r="X304" s="138">
        <v>75</v>
      </c>
    </row>
    <row r="305" spans="1:24" ht="15.75" hidden="1" thickBot="1" x14ac:dyDescent="0.3">
      <c r="A305" s="41" t="s">
        <v>34</v>
      </c>
      <c r="B305" s="21"/>
      <c r="C305" s="21"/>
      <c r="D305" s="162">
        <v>770</v>
      </c>
      <c r="E305" s="41"/>
      <c r="F305" s="28"/>
      <c r="G305" s="42" t="s">
        <v>35</v>
      </c>
      <c r="H305" s="256" t="e">
        <f>+H247</f>
        <v>#REF!</v>
      </c>
      <c r="I305" s="257"/>
      <c r="J305" s="257"/>
      <c r="K305" s="41"/>
      <c r="L305" s="21"/>
      <c r="M305" s="115" t="s">
        <v>167</v>
      </c>
      <c r="N305" s="116">
        <f>IF($N$299="","",IF($N$299="INDUSTRIAL",IF(OR(D297="",D303="",D304=""),"",(IF(OR(D297="SAN CRISTOBAL",D297="FLOREANA"),VLOOKUP(D304,'Estratos SCY - FLO'!$A$4:$M$108,IF(D303="A1",2,IF(D303="A",5,IF(D303="B",8,11))),0),VLOOKUP(D304,'Estratos SCX - ISA'!$A$4:$M$108,IF(D303="A1",2,IF(D303="A",5,IF(D303="B",8,11))),0))+D305/920)*N302),IF(OR(D297="",D303="",D304=""),"",(IF(OR(D297="SAN CRISTOBAL",D297="FLOREANA"),VLOOKUP(D304,'Estratos SCY - FLO'!$O$4:$S$108,IF(D303="A1",2,IF(D303="A",3,IF(D303="B",4,5))),0),VLOOKUP(D304,'Estratos SCX - ISA'!$O$4:$S$108,IF(D303="A1",2,IF(D303="A",3,IF(D303="B",4,5))),0))+D305/920)*N302)))</f>
        <v>73.787231036857065</v>
      </c>
      <c r="U305" s="138" t="s">
        <v>87</v>
      </c>
      <c r="W305" s="138">
        <v>37.5</v>
      </c>
      <c r="X305" s="138">
        <v>100</v>
      </c>
    </row>
    <row r="306" spans="1:24" ht="41.25" hidden="1" customHeight="1" thickBot="1" x14ac:dyDescent="0.3">
      <c r="A306" s="258" t="str">
        <f>+IF(OR(N299="INDUSTRIAL"),"NOTA: Estratos:  A1 (Consumo-Alto); A (Consumo-Medio); B(Consumo-Bajo); C(Consumo-Mínimo)",IF(N299="","","NOTA: Estratos:  A1 (Casco Urbano-Sector hotelero);A (Barrios Centricos); B(Zona Periferica); C(Zona Rural)"))</f>
        <v>NOTA: Estratos:  A1 (Consumo-Alto); A (Consumo-Medio); B(Consumo-Bajo); C(Consumo-Mínimo)</v>
      </c>
      <c r="B306" s="259"/>
      <c r="C306" s="259"/>
      <c r="D306" s="259"/>
      <c r="E306" s="259"/>
      <c r="F306" s="259"/>
      <c r="G306" s="259"/>
      <c r="H306" s="259"/>
      <c r="I306" s="259"/>
      <c r="J306" s="259"/>
      <c r="K306" s="44"/>
      <c r="L306" s="34"/>
      <c r="M306" s="130" t="str">
        <f>+IF(OR(N301="",D303="",D304=""),"","POT. NOMINAL TRAFO. (KVA):")</f>
        <v>POT. NOMINAL TRAFO. (KVA):</v>
      </c>
      <c r="N306" s="117">
        <f>IF(OR(N301="",N302="",N302=0),"",IF(N301="1F",IF(N305&lt;$W$11,$W$11,IF(AND(N305&gt;$W$11,N305&lt;$W$12),$W$12,IF(AND(N305&gt;$W$12,N305&lt;$W$13),$W$13,IF(AND(N305&gt;$W$13,N305&lt;$W$14),$W$14,IF(AND(N305&gt;$W$14,N305&lt;$W$15),$W$15,IF(AND(N305&gt;$W$15,N305&lt;$W$16),$W$16,IF(AND(N305&gt;$W$16,N305&lt;$W$17),$W$17,IF(AND(N305&gt;$W$17,N305&lt;$W$18),$W$18,IF(AND(N305&gt;$W$18,N305&lt;$W$19),$W$19,""))))))))),IF($N$305&lt;$X$11,$X$11,IF(AND(N305&gt;$X$11,N305&lt;$X$12),$X$12,IF(AND(N305&gt;$X$12,N305&lt;$X$13),$X$13,IF(AND(N305&gt;$X$13,N305&lt;$X$14),$X$14,IF(AND(N305&gt;$X$14,N305&lt;$X$15),$X$15,IF(AND(N305&gt;$X$15,N305&lt;$X$16),$X$16,IF(AND(N305&gt;$X$16,N305&lt;$X$17),$X$17,"")))))))))</f>
        <v>75</v>
      </c>
      <c r="U306" s="138" t="s">
        <v>88</v>
      </c>
      <c r="W306" s="138">
        <v>50</v>
      </c>
      <c r="X306" s="138">
        <v>125</v>
      </c>
    </row>
    <row r="307" spans="1:24" ht="15.75" hidden="1" thickBot="1" x14ac:dyDescent="0.3">
      <c r="A307" s="21"/>
      <c r="B307" s="21"/>
      <c r="C307" s="21"/>
      <c r="D307" s="21"/>
      <c r="E307" s="21"/>
      <c r="F307" s="28"/>
      <c r="G307" s="28"/>
      <c r="H307" s="21"/>
      <c r="I307" s="21"/>
      <c r="J307" s="21"/>
      <c r="K307" s="21"/>
      <c r="L307" s="21"/>
      <c r="M307" s="21"/>
      <c r="N307" s="23"/>
      <c r="U307" s="138" t="s">
        <v>89</v>
      </c>
      <c r="W307" s="138">
        <v>75</v>
      </c>
      <c r="X307" s="138">
        <v>150</v>
      </c>
    </row>
    <row r="308" spans="1:24" ht="19.5" hidden="1" thickBot="1" x14ac:dyDescent="0.3">
      <c r="A308" s="46" t="s">
        <v>36</v>
      </c>
      <c r="B308" s="47"/>
      <c r="C308" s="47"/>
      <c r="D308" s="48" t="s">
        <v>37</v>
      </c>
      <c r="E308" s="49"/>
      <c r="F308" s="50"/>
      <c r="G308" s="50"/>
      <c r="H308" s="37"/>
      <c r="I308" s="37"/>
      <c r="J308" s="37"/>
      <c r="K308" s="37"/>
      <c r="L308" s="37"/>
      <c r="M308" s="37"/>
      <c r="N308" s="40"/>
      <c r="U308" s="138" t="s">
        <v>90</v>
      </c>
      <c r="W308" s="138">
        <v>100</v>
      </c>
      <c r="X308" s="138">
        <v>200</v>
      </c>
    </row>
    <row r="309" spans="1:24" ht="15.75" hidden="1" thickBot="1" x14ac:dyDescent="0.3">
      <c r="A309" s="41"/>
      <c r="B309" s="21"/>
      <c r="C309" s="21"/>
      <c r="D309" s="21"/>
      <c r="E309" s="21"/>
      <c r="F309" s="28"/>
      <c r="G309" s="28"/>
      <c r="H309" s="21"/>
      <c r="I309" s="21"/>
      <c r="J309" s="21"/>
      <c r="K309" s="21"/>
      <c r="L309" s="21" t="s">
        <v>186</v>
      </c>
      <c r="M309" s="21"/>
      <c r="N309" s="163"/>
      <c r="U309" s="138" t="s">
        <v>91</v>
      </c>
      <c r="W309" s="138">
        <v>112.5</v>
      </c>
    </row>
    <row r="310" spans="1:24" ht="15.75" hidden="1" thickBot="1" x14ac:dyDescent="0.3">
      <c r="A310" s="44"/>
      <c r="B310" s="34"/>
      <c r="C310" s="34"/>
      <c r="D310" s="34"/>
      <c r="E310" s="34"/>
      <c r="F310" s="45"/>
      <c r="G310" s="45"/>
      <c r="H310" s="34"/>
      <c r="I310" s="34"/>
      <c r="J310" s="34"/>
      <c r="K310" s="34"/>
      <c r="L310" s="113" t="s">
        <v>102</v>
      </c>
      <c r="M310" s="142"/>
      <c r="N310" s="163" t="s">
        <v>147</v>
      </c>
      <c r="W310" s="138">
        <v>125</v>
      </c>
    </row>
    <row r="311" spans="1:24" ht="15.75" hidden="1" thickBot="1" x14ac:dyDescent="0.3">
      <c r="A311" s="21"/>
      <c r="B311" s="21"/>
      <c r="C311" s="21"/>
      <c r="D311" s="21"/>
      <c r="E311" s="21"/>
      <c r="F311" s="28"/>
      <c r="G311" s="28"/>
      <c r="H311" s="21"/>
      <c r="I311" s="21"/>
      <c r="J311" s="21"/>
      <c r="K311" s="21"/>
      <c r="L311" s="21"/>
      <c r="M311" s="21"/>
      <c r="N311" s="23"/>
    </row>
    <row r="312" spans="1:24" ht="15.75" hidden="1" thickBot="1" x14ac:dyDescent="0.3">
      <c r="A312" s="244" t="s">
        <v>38</v>
      </c>
      <c r="B312" s="245"/>
      <c r="C312" s="52" t="s">
        <v>39</v>
      </c>
      <c r="D312" s="52" t="s">
        <v>40</v>
      </c>
      <c r="E312" s="53" t="s">
        <v>41</v>
      </c>
      <c r="F312" s="53" t="s">
        <v>42</v>
      </c>
      <c r="G312" s="244" t="s">
        <v>43</v>
      </c>
      <c r="H312" s="246"/>
      <c r="I312" s="246"/>
      <c r="J312" s="245"/>
      <c r="K312" s="247" t="s">
        <v>44</v>
      </c>
      <c r="L312" s="246" t="s">
        <v>45</v>
      </c>
      <c r="M312" s="246"/>
      <c r="N312" s="245"/>
      <c r="U312" s="236" t="s">
        <v>98</v>
      </c>
      <c r="V312" s="236" t="s">
        <v>99</v>
      </c>
    </row>
    <row r="313" spans="1:24" ht="15.75" hidden="1" thickBot="1" x14ac:dyDescent="0.3">
      <c r="A313" s="52" t="s">
        <v>46</v>
      </c>
      <c r="B313" s="52" t="s">
        <v>47</v>
      </c>
      <c r="C313" s="54" t="s">
        <v>48</v>
      </c>
      <c r="D313" s="54" t="s">
        <v>49</v>
      </c>
      <c r="E313" s="55" t="s">
        <v>50</v>
      </c>
      <c r="F313" s="55" t="s">
        <v>51</v>
      </c>
      <c r="G313" s="56" t="s">
        <v>52</v>
      </c>
      <c r="H313" s="43" t="s">
        <v>105</v>
      </c>
      <c r="I313" s="124" t="s">
        <v>106</v>
      </c>
      <c r="J313" s="43" t="s">
        <v>53</v>
      </c>
      <c r="K313" s="248"/>
      <c r="L313" s="53" t="s">
        <v>54</v>
      </c>
      <c r="M313" s="43" t="s">
        <v>55</v>
      </c>
      <c r="N313" s="57" t="s">
        <v>56</v>
      </c>
      <c r="U313" s="236"/>
      <c r="V313" s="236"/>
    </row>
    <row r="314" spans="1:24" hidden="1" x14ac:dyDescent="0.25">
      <c r="A314" s="191" t="str">
        <f>IF(N310="","",N310)</f>
        <v>P26</v>
      </c>
      <c r="B314" s="164" t="s">
        <v>154</v>
      </c>
      <c r="C314" s="165">
        <v>23</v>
      </c>
      <c r="D314" s="165"/>
      <c r="E314" s="166">
        <v>220</v>
      </c>
      <c r="F314" s="193">
        <f>IF($N$299="","",IF($N$299="INDUSTRIAL",IF(OR($D$297="",$D$303=""),"",IF(OR(D314&gt;$D$304,E314&gt;$D$305),"Rev. Total. abona.",IF(D314="",IF(E314="","",E314/(0.92*1000)),IF(OR($D$297="SAN CRISTOBAL",$D$297="FLOREANA"),VLOOKUP(D314,'Estratos SCY - FLO'!$A$4:$M$108,IF($D$303="A1",2,IF($D$303="A",5,IF($D$303="B",8,11))))+E314/(0.92*1000),VLOOKUP(D314,'Estratos SCX - ISA'!$A$3:$M$107,IF($D$303="A1",2,IF($D$303="A",5,IF($D$303="B",8,11))))+E314/(0.92*1000))))),IF(OR($D$297="",$D$303=""),"",IF(OR(D314&gt;$D$304,E314&gt;$D$305),"Rev. Total. abona.",IF(D314="",IF(E314="","",E314/(0.92*1000)),IF(OR($D$297="SAN CRISTOBAL",$D$297="FLOREANA"),VLOOKUP(D314,'Estratos SCY - FLO'!$O$4:$S$108,IF($D$303="A1",2,IF($D$303="A",3,IF($D$303="B",4,5))))+E314/(0.92*1000),VLOOKUP(D314,'Estratos SCX - ISA'!$O$4:$S$108,IF($D$303="A1",2,IF($D$303="A",3,IF($D$303="B",4,5))))+E314/(0.92*1000)))))))</f>
        <v>0.2391304347826087</v>
      </c>
      <c r="G314" s="95">
        <f>IF(OR($N$10="",C314=""),"",IF($N$10="1F",1,3))</f>
        <v>1</v>
      </c>
      <c r="H314" s="182">
        <v>2</v>
      </c>
      <c r="I314" s="182">
        <v>2</v>
      </c>
      <c r="J314" s="95">
        <f>IF(OR(H314="",$D$10="",$N$10=""),"",IF($D$10="COBRE",VLOOKUP(CDV_PROY_BT!H314,FDV!$B$16:$E$24,IF(CDV_PROY_BT!$N$10="3F",3,4),FALSE),IF($D$10="ACS",VLOOKUP(CDV_PROY_BT!H314,FDV!$B$10:$E$15,IF(CDV_PROY_BT!$N$10="3F",3,4),FALSE),IF($D$10="5005 (PREENSAMBLADO)",VLOOKUP(CDV_PROY_BT!H314,FDV!$B$4:$E$9,IF(CDV_PROY_BT!$N$10="3F",3,4),FALSE),VLOOKUP(CDV_PROY_BT!H314,FDV!$B$25:$E$30,IF(CDV_PROY_BT!$N$10="3F",3,4),FALSE)))))</f>
        <v>279</v>
      </c>
      <c r="K314" s="60">
        <f t="shared" ref="K314:K341" si="43">IF(C314="","",ROUND(F314*C314,0))</f>
        <v>6</v>
      </c>
      <c r="L314" s="61">
        <f>IF($N$19="","",IF(C314="","",ROUND(K314/J314,2)))</f>
        <v>0.02</v>
      </c>
      <c r="M314" s="61">
        <f>IF(C314="","",VLOOKUP(A314,$B$314:$N$341,12,FALSE)+L314+N309)</f>
        <v>0.02</v>
      </c>
      <c r="N314" s="154">
        <f>+M314</f>
        <v>0.02</v>
      </c>
      <c r="U314" s="138">
        <f>+IF(C314="",0,C314)</f>
        <v>23</v>
      </c>
      <c r="V314" s="138">
        <f>IF(OR(C314="",G314=""),0,C314*G314)</f>
        <v>23</v>
      </c>
    </row>
    <row r="315" spans="1:24" hidden="1" x14ac:dyDescent="0.25">
      <c r="A315" s="167" t="s">
        <v>147</v>
      </c>
      <c r="B315" s="168" t="s">
        <v>144</v>
      </c>
      <c r="C315" s="169">
        <v>29</v>
      </c>
      <c r="D315" s="169">
        <v>6</v>
      </c>
      <c r="E315" s="170">
        <v>220</v>
      </c>
      <c r="F315" s="62">
        <f>IF($N$299="","",IF($N$299="INDUSTRIAL",IF(OR($D$297="",$D$303=""),"",IF(OR(D315&gt;$D$304,E315&gt;$D$305),"Rev. Total. abona.",IF(D315="",IF(E315="","",E315/(0.92*1000)),IF(OR($D$297="SAN CRISTOBAL",$D$297="FLOREANA"),VLOOKUP(D315,'Estratos SCY - FLO'!$A$4:$M$108,IF($D$303="A1",2,IF($D$303="A",5,IF($D$303="B",8,11))))+E315/(0.92*1000),VLOOKUP(D315,'Estratos SCX - ISA'!$A$3:$M$107,IF($D$303="A1",2,IF($D$303="A",5,IF($D$303="B",8,11))))+E315/(0.92*1000))))),IF(OR($D$297="",$D$303=""),"",IF(OR(D315&gt;$D$304,E315&gt;$D$305),"Rev. Total. abona.",IF(D315="",IF(E315="","",E315/(0.92*1000)),IF(OR($D$297="SAN CRISTOBAL",$D$297="FLOREANA"),VLOOKUP(D315,'Estratos SCY - FLO'!$O$4:$S$108,IF($D$303="A1",2,IF($D$303="A",3,IF($D$303="B",4,5))))+E315/(0.92*1000),VLOOKUP(D315,'Estratos SCX - ISA'!$O$4:$S$108,IF($D$303="A1",2,IF($D$303="A",3,IF($D$303="B",4,5))))+E315/(0.92*1000)))))))</f>
        <v>41.703366377377698</v>
      </c>
      <c r="G315" s="59">
        <f t="shared" ref="G315:G341" si="44">IF(OR($N$10="",C315=""),"",IF($N$10="1F",1,3))</f>
        <v>1</v>
      </c>
      <c r="H315" s="183" t="s">
        <v>0</v>
      </c>
      <c r="I315" s="183" t="s">
        <v>0</v>
      </c>
      <c r="J315" s="59">
        <f>IF(OR(H315="",$D$10="",$N$10=""),"",IF($D$10="COBRE",VLOOKUP(CDV_PROY_BT!H315,FDV!$B$16:$E$24,IF(CDV_PROY_BT!$N$10="3F",3,4),FALSE),IF($D$10="ACS",VLOOKUP(CDV_PROY_BT!H315,FDV!$B$10:$E$15,IF(CDV_PROY_BT!$N$10="3F",3,4),FALSE),IF($D$10="5005 (PREENSAMBLADO)",VLOOKUP(CDV_PROY_BT!H315,FDV!$B$4:$E$9,IF(CDV_PROY_BT!$N$10="3F",3,4),FALSE),VLOOKUP(CDV_PROY_BT!H315,FDV!$B$25:$E$30,IF(CDV_PROY_BT!$N$10="3F",3,4),FALSE)))))</f>
        <v>412</v>
      </c>
      <c r="K315" s="63">
        <f t="shared" si="43"/>
        <v>1209</v>
      </c>
      <c r="L315" s="62">
        <f t="shared" ref="L315:L340" si="45">IF($N$19="","",IF(C315="","",ROUND(K315/J315,2)))</f>
        <v>2.93</v>
      </c>
      <c r="M315" s="62">
        <f t="shared" ref="M315:M340" si="46">IF(C315="","",VLOOKUP(A315,$B$314:$N$341,12,FALSE)+L315)</f>
        <v>2.93</v>
      </c>
      <c r="N315" s="155"/>
      <c r="U315" s="138">
        <f t="shared" ref="U315:U340" si="47">+IF(C315="",0,C315)</f>
        <v>29</v>
      </c>
      <c r="V315" s="138">
        <f t="shared" ref="V315:V340" si="48">IF(OR(C315="",G315=""),0,C315*G315)</f>
        <v>29</v>
      </c>
    </row>
    <row r="316" spans="1:24" hidden="1" x14ac:dyDescent="0.25">
      <c r="A316" s="167" t="s">
        <v>144</v>
      </c>
      <c r="B316" s="168" t="s">
        <v>184</v>
      </c>
      <c r="C316" s="169">
        <v>29</v>
      </c>
      <c r="D316" s="169">
        <v>3</v>
      </c>
      <c r="E316" s="170">
        <v>110</v>
      </c>
      <c r="F316" s="58">
        <f>IF($N$299="","",IF($N$299="INDUSTRIAL",IF(OR($D$297="",$D$303=""),"",IF(OR(D316&gt;$D$304,E316&gt;$D$305),"Rev. Total. abona.",IF(D316="",IF(E316="","",E316/(0.92*1000)),IF(OR($D$297="SAN CRISTOBAL",$D$297="FLOREANA"),VLOOKUP(D316,'Estratos SCY - FLO'!$A$4:$M$108,IF($D$303="A1",2,IF($D$303="A",5,IF($D$303="B",8,11))))+E316/(0.92*1000),VLOOKUP(D316,'Estratos SCX - ISA'!$A$3:$M$107,IF($D$303="A1",2,IF($D$303="A",5,IF($D$303="B",8,11))))+E316/(0.92*1000))))),IF(OR($D$297="",$D$303=""),"",IF(OR(D316&gt;$D$304,E316&gt;$D$305),"Rev. Total. abona.",IF(D316="",IF(E316="","",E316/(0.92*1000)),IF(OR($D$297="SAN CRISTOBAL",$D$297="FLOREANA"),VLOOKUP(D316,'Estratos SCY - FLO'!$O$4:$S$108,IF($D$303="A1",2,IF($D$303="A",3,IF($D$303="B",4,5))))+E316/(0.92*1000),VLOOKUP(D316,'Estratos SCX - ISA'!$O$4:$S$108,IF($D$303="A1",2,IF($D$303="A",3,IF($D$303="B",4,5))))+E316/(0.92*1000)))))))</f>
        <v>22.186213405145857</v>
      </c>
      <c r="G316" s="59">
        <f t="shared" si="44"/>
        <v>1</v>
      </c>
      <c r="H316" s="183" t="s">
        <v>0</v>
      </c>
      <c r="I316" s="183" t="s">
        <v>0</v>
      </c>
      <c r="J316" s="59">
        <f>IF(OR(H316="",$D$10="",$N$10=""),"",IF($D$10="COBRE",VLOOKUP(CDV_PROY_BT!H316,FDV!$B$16:$E$24,IF(CDV_PROY_BT!$N$10="3F",3,4),FALSE),IF($D$10="ACS",VLOOKUP(CDV_PROY_BT!H316,FDV!$B$10:$E$15,IF(CDV_PROY_BT!$N$10="3F",3,4),FALSE),IF($D$10="5005 (PREENSAMBLADO)",VLOOKUP(CDV_PROY_BT!H316,FDV!$B$4:$E$9,IF(CDV_PROY_BT!$N$10="3F",3,4),FALSE),VLOOKUP(CDV_PROY_BT!H316,FDV!$B$25:$E$30,IF(CDV_PROY_BT!$N$10="3F",3,4),FALSE)))))</f>
        <v>412</v>
      </c>
      <c r="K316" s="63">
        <f t="shared" si="43"/>
        <v>643</v>
      </c>
      <c r="L316" s="62">
        <f t="shared" si="45"/>
        <v>1.56</v>
      </c>
      <c r="M316" s="62">
        <f t="shared" si="46"/>
        <v>4.49</v>
      </c>
      <c r="N316" s="155">
        <f>+M316</f>
        <v>4.49</v>
      </c>
      <c r="U316" s="138">
        <f t="shared" si="47"/>
        <v>29</v>
      </c>
      <c r="V316" s="138">
        <f t="shared" si="48"/>
        <v>29</v>
      </c>
    </row>
    <row r="317" spans="1:24" hidden="1" x14ac:dyDescent="0.25">
      <c r="A317" s="167" t="s">
        <v>147</v>
      </c>
      <c r="B317" s="168" t="s">
        <v>148</v>
      </c>
      <c r="C317" s="169">
        <v>28</v>
      </c>
      <c r="D317" s="169">
        <v>7</v>
      </c>
      <c r="E317" s="170">
        <v>220</v>
      </c>
      <c r="F317" s="58">
        <f>IF($N$299="","",IF($N$299="INDUSTRIAL",IF(OR($D$297="",$D$303=""),"",IF(OR(D317&gt;$D$304,E317&gt;$D$305),"Rev. Total. abona.",IF(D317="",IF(E317="","",E317/(0.92*1000)),IF(OR($D$297="SAN CRISTOBAL",$D$297="FLOREANA"),VLOOKUP(D317,'Estratos SCY - FLO'!$A$4:$M$108,IF($D$303="A1",2,IF($D$303="A",5,IF($D$303="B",8,11))))+E317/(0.92*1000),VLOOKUP(D317,'Estratos SCX - ISA'!$A$3:$M$107,IF($D$303="A1",2,IF($D$303="A",5,IF($D$303="B",8,11))))+E317/(0.92*1000))))),IF(OR($D$297="",$D$303=""),"",IF(OR(D317&gt;$D$304,E317&gt;$D$305),"Rev. Total. abona.",IF(D317="",IF(E317="","",E317/(0.92*1000)),IF(OR($D$297="SAN CRISTOBAL",$D$297="FLOREANA"),VLOOKUP(D317,'Estratos SCY - FLO'!$O$4:$S$108,IF($D$303="A1",2,IF($D$303="A",3,IF($D$303="B",4,5))))+E317/(0.92*1000),VLOOKUP(D317,'Estratos SCX - ISA'!$O$4:$S$108,IF($D$303="A1",2,IF($D$303="A",3,IF($D$303="B",4,5))))+E317/(0.92*1000)))))))</f>
        <v>47.947573696521289</v>
      </c>
      <c r="G317" s="59">
        <f t="shared" si="44"/>
        <v>1</v>
      </c>
      <c r="H317" s="183" t="s">
        <v>0</v>
      </c>
      <c r="I317" s="183" t="s">
        <v>0</v>
      </c>
      <c r="J317" s="59">
        <f>IF(OR(H317="",$D$10="",$N$10=""),"",IF($D$10="COBRE",VLOOKUP(CDV_PROY_BT!H317,FDV!$B$16:$E$24,IF(CDV_PROY_BT!$N$10="3F",3,4),FALSE),IF($D$10="ACS",VLOOKUP(CDV_PROY_BT!H317,FDV!$B$10:$E$15,IF(CDV_PROY_BT!$N$10="3F",3,4),FALSE),IF($D$10="5005 (PREENSAMBLADO)",VLOOKUP(CDV_PROY_BT!H317,FDV!$B$4:$E$9,IF(CDV_PROY_BT!$N$10="3F",3,4),FALSE),VLOOKUP(CDV_PROY_BT!H317,FDV!$B$25:$E$30,IF(CDV_PROY_BT!$N$10="3F",3,4),FALSE)))))</f>
        <v>412</v>
      </c>
      <c r="K317" s="63">
        <f t="shared" si="43"/>
        <v>1343</v>
      </c>
      <c r="L317" s="62">
        <f t="shared" si="45"/>
        <v>3.26</v>
      </c>
      <c r="M317" s="62">
        <f t="shared" si="46"/>
        <v>3.26</v>
      </c>
      <c r="N317" s="155"/>
      <c r="U317" s="138">
        <f t="shared" si="47"/>
        <v>28</v>
      </c>
      <c r="V317" s="138">
        <f t="shared" si="48"/>
        <v>28</v>
      </c>
    </row>
    <row r="318" spans="1:24" hidden="1" x14ac:dyDescent="0.25">
      <c r="A318" s="167" t="s">
        <v>148</v>
      </c>
      <c r="B318" s="168" t="s">
        <v>202</v>
      </c>
      <c r="C318" s="169">
        <v>28</v>
      </c>
      <c r="D318" s="169">
        <v>6</v>
      </c>
      <c r="E318" s="170">
        <v>110</v>
      </c>
      <c r="F318" s="58">
        <f>IF($N$299="","",IF($N$299="INDUSTRIAL",IF(OR($D$297="",$D$303=""),"",IF(OR(D318&gt;$D$304,E318&gt;$D$305),"Rev. Total. abona.",IF(D318="",IF(E318="","",E318/(0.92*1000)),IF(OR($D$297="SAN CRISTOBAL",$D$297="FLOREANA"),VLOOKUP(D318,'Estratos SCY - FLO'!$A$4:$M$108,IF($D$303="A1",2,IF($D$303="A",5,IF($D$303="B",8,11))))+E318/(0.92*1000),VLOOKUP(D318,'Estratos SCX - ISA'!$A$3:$M$107,IF($D$303="A1",2,IF($D$303="A",5,IF($D$303="B",8,11))))+E318/(0.92*1000))))),IF(OR($D$297="",$D$303=""),"",IF(OR(D318&gt;$D$304,E318&gt;$D$305),"Rev. Total. abona.",IF(D318="",IF(E318="","",E318/(0.92*1000)),IF(OR($D$297="SAN CRISTOBAL",$D$297="FLOREANA"),VLOOKUP(D318,'Estratos SCY - FLO'!$O$4:$S$108,IF($D$303="A1",2,IF($D$303="A",3,IF($D$303="B",4,5))))+E318/(0.92*1000),VLOOKUP(D318,'Estratos SCX - ISA'!$O$4:$S$108,IF($D$303="A1",2,IF($D$303="A",3,IF($D$303="B",4,5))))+E318/(0.92*1000)))))))</f>
        <v>41.583801159986393</v>
      </c>
      <c r="G318" s="59">
        <f t="shared" si="44"/>
        <v>1</v>
      </c>
      <c r="H318" s="183" t="s">
        <v>0</v>
      </c>
      <c r="I318" s="183" t="s">
        <v>0</v>
      </c>
      <c r="J318" s="59">
        <f>IF(OR(H318="",$D$10="",$N$10=""),"",IF($D$10="COBRE",VLOOKUP(CDV_PROY_BT!H318,FDV!$B$16:$E$24,IF(CDV_PROY_BT!$N$10="3F",3,4),FALSE),IF($D$10="ACS",VLOOKUP(CDV_PROY_BT!H318,FDV!$B$10:$E$15,IF(CDV_PROY_BT!$N$10="3F",3,4),FALSE),IF($D$10="5005 (PREENSAMBLADO)",VLOOKUP(CDV_PROY_BT!H318,FDV!$B$4:$E$9,IF(CDV_PROY_BT!$N$10="3F",3,4),FALSE),VLOOKUP(CDV_PROY_BT!H318,FDV!$B$25:$E$30,IF(CDV_PROY_BT!$N$10="3F",3,4),FALSE)))))</f>
        <v>412</v>
      </c>
      <c r="K318" s="63">
        <f t="shared" si="43"/>
        <v>1164</v>
      </c>
      <c r="L318" s="62">
        <f t="shared" si="45"/>
        <v>2.83</v>
      </c>
      <c r="M318" s="62">
        <f t="shared" si="46"/>
        <v>6.09</v>
      </c>
      <c r="N318" s="155">
        <f>+M318</f>
        <v>6.09</v>
      </c>
      <c r="U318" s="138">
        <f t="shared" si="47"/>
        <v>28</v>
      </c>
      <c r="V318" s="138">
        <f t="shared" si="48"/>
        <v>28</v>
      </c>
    </row>
    <row r="319" spans="1:24" hidden="1" x14ac:dyDescent="0.25">
      <c r="A319" s="167"/>
      <c r="B319" s="168"/>
      <c r="C319" s="169"/>
      <c r="D319" s="169"/>
      <c r="E319" s="170"/>
      <c r="F319" s="58" t="str">
        <f>IF($N$299="","",IF($N$299="INDUSTRIAL",IF(OR($D$297="",$D$303=""),"",IF(OR(D319&gt;$D$304,E319&gt;$D$305),"Rev. Total. abona.",IF(D319="",IF(E319="","",E319/(0.92*1000)),IF(OR($D$297="SAN CRISTOBAL",$D$297="FLOREANA"),VLOOKUP(D319,'Estratos SCY - FLO'!$A$4:$M$108,IF($D$303="A1",2,IF($D$303="A",5,IF($D$303="B",8,11))))+E319/(0.92*1000),VLOOKUP(D319,'Estratos SCX - ISA'!$A$3:$M$107,IF($D$303="A1",2,IF($D$303="A",5,IF($D$303="B",8,11))))+E319/(0.92*1000))))),IF(OR($D$297="",$D$303=""),"",IF(OR(D319&gt;$D$304,E319&gt;$D$305),"Rev. Total. abona.",IF(D319="",IF(E319="","",E319/(0.92*1000)),IF(OR($D$297="SAN CRISTOBAL",$D$297="FLOREANA"),VLOOKUP(D319,'Estratos SCY - FLO'!$O$4:$S$108,IF($D$303="A1",2,IF($D$303="A",3,IF($D$303="B",4,5))))+E319/(0.92*1000),VLOOKUP(D319,'Estratos SCX - ISA'!$O$4:$S$108,IF($D$303="A1",2,IF($D$303="A",3,IF($D$303="B",4,5))))+E319/(0.92*1000)))))))</f>
        <v/>
      </c>
      <c r="G319" s="59" t="str">
        <f t="shared" si="44"/>
        <v/>
      </c>
      <c r="H319" s="183"/>
      <c r="I319" s="183"/>
      <c r="J319" s="59" t="str">
        <f>IF(OR(H319="",$D$10="",$N$10=""),"",IF($D$10="COBRE",VLOOKUP(CDV_PROY_BT!H319,FDV!$B$16:$E$24,IF(CDV_PROY_BT!$N$10="3F",3,4),FALSE),IF($D$10="ACS",VLOOKUP(CDV_PROY_BT!H319,FDV!$B$10:$E$15,IF(CDV_PROY_BT!$N$10="3F",3,4),FALSE),IF($D$10="5005 (PREENSAMBLADO)",VLOOKUP(CDV_PROY_BT!H319,FDV!$B$4:$E$9,IF(CDV_PROY_BT!$N$10="3F",3,4),FALSE),VLOOKUP(CDV_PROY_BT!H319,FDV!$B$25:$E$30,IF(CDV_PROY_BT!$N$10="3F",3,4),FALSE)))))</f>
        <v/>
      </c>
      <c r="K319" s="63" t="str">
        <f t="shared" si="43"/>
        <v/>
      </c>
      <c r="L319" s="62" t="str">
        <f t="shared" si="45"/>
        <v/>
      </c>
      <c r="M319" s="62" t="str">
        <f t="shared" si="46"/>
        <v/>
      </c>
      <c r="N319" s="155"/>
      <c r="U319" s="138">
        <f t="shared" si="47"/>
        <v>0</v>
      </c>
      <c r="V319" s="138">
        <f t="shared" si="48"/>
        <v>0</v>
      </c>
    </row>
    <row r="320" spans="1:24" hidden="1" x14ac:dyDescent="0.25">
      <c r="A320" s="167"/>
      <c r="B320" s="168"/>
      <c r="C320" s="169"/>
      <c r="D320" s="169"/>
      <c r="E320" s="170"/>
      <c r="F320" s="58" t="str">
        <f>IF($N$299="","",IF($N$299="INDUSTRIAL",IF(OR($D$297="",$D$303=""),"",IF(OR(D320&gt;$D$304,E320&gt;$D$305),"Rev. Total. abona.",IF(D320="",IF(E320="","",E320/(0.92*1000)),IF(OR($D$297="SAN CRISTOBAL",$D$297="FLOREANA"),VLOOKUP(D320,'Estratos SCY - FLO'!$A$4:$M$108,IF($D$303="A1",2,IF($D$303="A",5,IF($D$303="B",8,11))))+E320/(0.92*1000),VLOOKUP(D320,'Estratos SCX - ISA'!$A$3:$M$107,IF($D$303="A1",2,IF($D$303="A",5,IF($D$303="B",8,11))))+E320/(0.92*1000))))),IF(OR($D$297="",$D$303=""),"",IF(OR(D320&gt;$D$304,E320&gt;$D$305),"Rev. Total. abona.",IF(D320="",IF(E320="","",E320/(0.92*1000)),IF(OR($D$297="SAN CRISTOBAL",$D$297="FLOREANA"),VLOOKUP(D320,'Estratos SCY - FLO'!$O$4:$S$108,IF($D$303="A1",2,IF($D$303="A",3,IF($D$303="B",4,5))))+E320/(0.92*1000),VLOOKUP(D320,'Estratos SCX - ISA'!$O$4:$S$108,IF($D$303="A1",2,IF($D$303="A",3,IF($D$303="B",4,5))))+E320/(0.92*1000)))))))</f>
        <v/>
      </c>
      <c r="G320" s="59" t="str">
        <f t="shared" si="44"/>
        <v/>
      </c>
      <c r="H320" s="183"/>
      <c r="I320" s="183"/>
      <c r="J320" s="59" t="str">
        <f>IF(OR(H320="",$D$10="",$N$10=""),"",IF($D$10="COBRE",VLOOKUP(CDV_PROY_BT!H320,FDV!$B$16:$E$24,IF(CDV_PROY_BT!$N$10="3F",3,4),FALSE),IF($D$10="ACS",VLOOKUP(CDV_PROY_BT!H320,FDV!$B$10:$E$15,IF(CDV_PROY_BT!$N$10="3F",3,4),FALSE),IF($D$10="5005 (PREENSAMBLADO)",VLOOKUP(CDV_PROY_BT!H320,FDV!$B$4:$E$9,IF(CDV_PROY_BT!$N$10="3F",3,4),FALSE),VLOOKUP(CDV_PROY_BT!H320,FDV!$B$25:$E$30,IF(CDV_PROY_BT!$N$10="3F",3,4),FALSE)))))</f>
        <v/>
      </c>
      <c r="K320" s="63" t="str">
        <f t="shared" si="43"/>
        <v/>
      </c>
      <c r="L320" s="62" t="str">
        <f t="shared" si="45"/>
        <v/>
      </c>
      <c r="M320" s="62" t="str">
        <f t="shared" si="46"/>
        <v/>
      </c>
      <c r="N320" s="155"/>
      <c r="U320" s="138">
        <f t="shared" si="47"/>
        <v>0</v>
      </c>
      <c r="V320" s="138">
        <f t="shared" si="48"/>
        <v>0</v>
      </c>
    </row>
    <row r="321" spans="1:22" hidden="1" x14ac:dyDescent="0.25">
      <c r="A321" s="167"/>
      <c r="B321" s="168"/>
      <c r="C321" s="169"/>
      <c r="D321" s="169"/>
      <c r="E321" s="170"/>
      <c r="F321" s="58" t="str">
        <f>IF($N$299="","",IF($N$299="INDUSTRIAL",IF(OR($D$297="",$D$303=""),"",IF(OR(D321&gt;$D$304,E321&gt;$D$305),"Rev. Total. abona.",IF(D321="",IF(E321="","",E321/(0.92*1000)),IF(OR($D$297="SAN CRISTOBAL",$D$297="FLOREANA"),VLOOKUP(D321,'Estratos SCY - FLO'!$A$4:$M$108,IF($D$303="A1",2,IF($D$303="A",5,IF($D$303="B",8,11))))+E321/(0.92*1000),VLOOKUP(D321,'Estratos SCX - ISA'!$A$3:$M$107,IF($D$303="A1",2,IF($D$303="A",5,IF($D$303="B",8,11))))+E321/(0.92*1000))))),IF(OR($D$297="",$D$303=""),"",IF(OR(D321&gt;$D$304,E321&gt;$D$305),"Rev. Total. abona.",IF(D321="",IF(E321="","",E321/(0.92*1000)),IF(OR($D$297="SAN CRISTOBAL",$D$297="FLOREANA"),VLOOKUP(D321,'Estratos SCY - FLO'!$O$4:$S$108,IF($D$303="A1",2,IF($D$303="A",3,IF($D$303="B",4,5))))+E321/(0.92*1000),VLOOKUP(D321,'Estratos SCX - ISA'!$O$4:$S$108,IF($D$303="A1",2,IF($D$303="A",3,IF($D$303="B",4,5))))+E321/(0.92*1000)))))))</f>
        <v/>
      </c>
      <c r="G321" s="59" t="str">
        <f t="shared" si="44"/>
        <v/>
      </c>
      <c r="H321" s="183"/>
      <c r="I321" s="183"/>
      <c r="J321" s="59" t="str">
        <f>IF(OR(H321="",$D$10="",$N$10=""),"",IF($D$10="COBRE",VLOOKUP(CDV_PROY_BT!H321,FDV!$B$16:$E$24,IF(CDV_PROY_BT!$N$10="3F",3,4),FALSE),IF($D$10="ACS",VLOOKUP(CDV_PROY_BT!H321,FDV!$B$10:$E$15,IF(CDV_PROY_BT!$N$10="3F",3,4),FALSE),IF($D$10="5005 (PREENSAMBLADO)",VLOOKUP(CDV_PROY_BT!H321,FDV!$B$4:$E$9,IF(CDV_PROY_BT!$N$10="3F",3,4),FALSE),VLOOKUP(CDV_PROY_BT!H321,FDV!$B$25:$E$30,IF(CDV_PROY_BT!$N$10="3F",3,4),FALSE)))))</f>
        <v/>
      </c>
      <c r="K321" s="63" t="str">
        <f t="shared" si="43"/>
        <v/>
      </c>
      <c r="L321" s="62" t="str">
        <f t="shared" si="45"/>
        <v/>
      </c>
      <c r="M321" s="62" t="str">
        <f t="shared" si="46"/>
        <v/>
      </c>
      <c r="N321" s="155"/>
      <c r="U321" s="138">
        <f t="shared" si="47"/>
        <v>0</v>
      </c>
      <c r="V321" s="138">
        <f t="shared" si="48"/>
        <v>0</v>
      </c>
    </row>
    <row r="322" spans="1:22" hidden="1" x14ac:dyDescent="0.25">
      <c r="A322" s="171"/>
      <c r="B322" s="172"/>
      <c r="C322" s="173"/>
      <c r="D322" s="173"/>
      <c r="E322" s="170"/>
      <c r="F322" s="58" t="str">
        <f>IF($N$299="","",IF($N$299="INDUSTRIAL",IF(OR($D$297="",$D$303=""),"",IF(OR(D322&gt;$D$304,E322&gt;$D$305),"Rev. Total. abona.",IF(D322="",IF(E322="","",E322/(0.92*1000)),IF(OR($D$297="SAN CRISTOBAL",$D$297="FLOREANA"),VLOOKUP(D322,'Estratos SCY - FLO'!$A$4:$M$108,IF($D$303="A1",2,IF($D$303="A",5,IF($D$303="B",8,11))))+E322/(0.92*1000),VLOOKUP(D322,'Estratos SCX - ISA'!$A$3:$M$107,IF($D$303="A1",2,IF($D$303="A",5,IF($D$303="B",8,11))))+E322/(0.92*1000))))),IF(OR($D$297="",$D$303=""),"",IF(OR(D322&gt;$D$304,E322&gt;$D$305),"Rev. Total. abona.",IF(D322="",IF(E322="","",E322/(0.92*1000)),IF(OR($D$297="SAN CRISTOBAL",$D$297="FLOREANA"),VLOOKUP(D322,'Estratos SCY - FLO'!$O$4:$S$108,IF($D$303="A1",2,IF($D$303="A",3,IF($D$303="B",4,5))))+E322/(0.92*1000),VLOOKUP(D322,'Estratos SCX - ISA'!$O$4:$S$108,IF($D$303="A1",2,IF($D$303="A",3,IF($D$303="B",4,5))))+E322/(0.92*1000)))))))</f>
        <v/>
      </c>
      <c r="G322" s="59" t="str">
        <f t="shared" si="44"/>
        <v/>
      </c>
      <c r="H322" s="183"/>
      <c r="I322" s="183"/>
      <c r="J322" s="59" t="str">
        <f>IF(OR(H322="",$D$10="",$N$10=""),"",IF($D$10="COBRE",VLOOKUP(CDV_PROY_BT!H322,FDV!$B$16:$E$24,IF(CDV_PROY_BT!$N$10="3F",3,4),FALSE),IF($D$10="ACS",VLOOKUP(CDV_PROY_BT!H322,FDV!$B$10:$E$15,IF(CDV_PROY_BT!$N$10="3F",3,4),FALSE),IF($D$10="5005 (PREENSAMBLADO)",VLOOKUP(CDV_PROY_BT!H322,FDV!$B$4:$E$9,IF(CDV_PROY_BT!$N$10="3F",3,4),FALSE),VLOOKUP(CDV_PROY_BT!H322,FDV!$B$25:$E$30,IF(CDV_PROY_BT!$N$10="3F",3,4),FALSE)))))</f>
        <v/>
      </c>
      <c r="K322" s="63" t="str">
        <f t="shared" si="43"/>
        <v/>
      </c>
      <c r="L322" s="62" t="str">
        <f t="shared" si="45"/>
        <v/>
      </c>
      <c r="M322" s="62" t="str">
        <f t="shared" si="46"/>
        <v/>
      </c>
      <c r="N322" s="155"/>
      <c r="U322" s="138">
        <f t="shared" si="47"/>
        <v>0</v>
      </c>
      <c r="V322" s="138">
        <f t="shared" si="48"/>
        <v>0</v>
      </c>
    </row>
    <row r="323" spans="1:22" hidden="1" x14ac:dyDescent="0.25">
      <c r="A323" s="167"/>
      <c r="B323" s="168"/>
      <c r="C323" s="169"/>
      <c r="D323" s="169"/>
      <c r="E323" s="174"/>
      <c r="F323" s="58" t="str">
        <f>IF($N$299="","",IF($N$299="INDUSTRIAL",IF(OR($D$297="",$D$303=""),"",IF(OR(D323&gt;$D$304,E323&gt;$D$305),"Rev. Total. abona.",IF(D323="",IF(E323="","",E323/(0.92*1000)),IF(OR($D$297="SAN CRISTOBAL",$D$297="FLOREANA"),VLOOKUP(D323,'Estratos SCY - FLO'!$A$4:$M$108,IF($D$303="A1",2,IF($D$303="A",5,IF($D$303="B",8,11))))+E323/(0.92*1000),VLOOKUP(D323,'Estratos SCX - ISA'!$A$3:$M$107,IF($D$303="A1",2,IF($D$303="A",5,IF($D$303="B",8,11))))+E323/(0.92*1000))))),IF(OR($D$297="",$D$303=""),"",IF(OR(D323&gt;$D$304,E323&gt;$D$305),"Rev. Total. abona.",IF(D323="",IF(E323="","",E323/(0.92*1000)),IF(OR($D$297="SAN CRISTOBAL",$D$297="FLOREANA"),VLOOKUP(D323,'Estratos SCY - FLO'!$O$4:$S$108,IF($D$303="A1",2,IF($D$303="A",3,IF($D$303="B",4,5))))+E323/(0.92*1000),VLOOKUP(D323,'Estratos SCX - ISA'!$O$4:$S$108,IF($D$303="A1",2,IF($D$303="A",3,IF($D$303="B",4,5))))+E323/(0.92*1000)))))))</f>
        <v/>
      </c>
      <c r="G323" s="59" t="str">
        <f t="shared" si="44"/>
        <v/>
      </c>
      <c r="H323" s="183"/>
      <c r="I323" s="183"/>
      <c r="J323" s="59" t="str">
        <f>IF(OR(H323="",$D$10="",$N$10=""),"",IF($D$10="COBRE",VLOOKUP(CDV_PROY_BT!H323,FDV!$B$16:$E$24,IF(CDV_PROY_BT!$N$10="3F",3,4),FALSE),IF($D$10="ACS",VLOOKUP(CDV_PROY_BT!H323,FDV!$B$10:$E$15,IF(CDV_PROY_BT!$N$10="3F",3,4),FALSE),IF($D$10="5005 (PREENSAMBLADO)",VLOOKUP(CDV_PROY_BT!H323,FDV!$B$4:$E$9,IF(CDV_PROY_BT!$N$10="3F",3,4),FALSE),VLOOKUP(CDV_PROY_BT!H323,FDV!$B$25:$E$30,IF(CDV_PROY_BT!$N$10="3F",3,4),FALSE)))))</f>
        <v/>
      </c>
      <c r="K323" s="63" t="str">
        <f t="shared" si="43"/>
        <v/>
      </c>
      <c r="L323" s="62" t="str">
        <f t="shared" si="45"/>
        <v/>
      </c>
      <c r="M323" s="62" t="str">
        <f t="shared" si="46"/>
        <v/>
      </c>
      <c r="N323" s="155"/>
      <c r="U323" s="138">
        <f t="shared" si="47"/>
        <v>0</v>
      </c>
      <c r="V323" s="138">
        <f t="shared" si="48"/>
        <v>0</v>
      </c>
    </row>
    <row r="324" spans="1:22" hidden="1" x14ac:dyDescent="0.25">
      <c r="A324" s="175"/>
      <c r="B324" s="176"/>
      <c r="C324" s="177"/>
      <c r="D324" s="177"/>
      <c r="E324" s="170"/>
      <c r="F324" s="58" t="str">
        <f>IF($N$299="","",IF($N$299="INDUSTRIAL",IF(OR($D$297="",$D$303=""),"",IF(OR(D324&gt;$D$304,E324&gt;$D$305),"Rev. Total. abona.",IF(D324="",IF(E324="","",E324/(0.92*1000)),IF(OR($D$297="SAN CRISTOBAL",$D$297="FLOREANA"),VLOOKUP(D324,'Estratos SCY - FLO'!$A$4:$M$108,IF($D$303="A1",2,IF($D$303="A",5,IF($D$303="B",8,11))))+E324/(0.92*1000),VLOOKUP(D324,'Estratos SCX - ISA'!$A$3:$M$107,IF($D$303="A1",2,IF($D$303="A",5,IF($D$303="B",8,11))))+E324/(0.92*1000))))),IF(OR($D$297="",$D$303=""),"",IF(OR(D324&gt;$D$304,E324&gt;$D$305),"Rev. Total. abona.",IF(D324="",IF(E324="","",E324/(0.92*1000)),IF(OR($D$297="SAN CRISTOBAL",$D$297="FLOREANA"),VLOOKUP(D324,'Estratos SCY - FLO'!$O$4:$S$108,IF($D$303="A1",2,IF($D$303="A",3,IF($D$303="B",4,5))))+E324/(0.92*1000),VLOOKUP(D324,'Estratos SCX - ISA'!$O$4:$S$108,IF($D$303="A1",2,IF($D$303="A",3,IF($D$303="B",4,5))))+E324/(0.92*1000)))))))</f>
        <v/>
      </c>
      <c r="G324" s="59" t="str">
        <f t="shared" si="44"/>
        <v/>
      </c>
      <c r="H324" s="183"/>
      <c r="I324" s="183"/>
      <c r="J324" s="59" t="str">
        <f>IF(OR(H324="",$D$10="",$N$10=""),"",IF($D$10="COBRE",VLOOKUP(CDV_PROY_BT!H324,FDV!$B$16:$E$24,IF(CDV_PROY_BT!$N$10="3F",3,4),FALSE),IF($D$10="ACS",VLOOKUP(CDV_PROY_BT!H324,FDV!$B$10:$E$15,IF(CDV_PROY_BT!$N$10="3F",3,4),FALSE),IF($D$10="5005 (PREENSAMBLADO)",VLOOKUP(CDV_PROY_BT!H324,FDV!$B$4:$E$9,IF(CDV_PROY_BT!$N$10="3F",3,4),FALSE),VLOOKUP(CDV_PROY_BT!H324,FDV!$B$25:$E$30,IF(CDV_PROY_BT!$N$10="3F",3,4),FALSE)))))</f>
        <v/>
      </c>
      <c r="K324" s="63" t="str">
        <f t="shared" si="43"/>
        <v/>
      </c>
      <c r="L324" s="62" t="str">
        <f t="shared" si="45"/>
        <v/>
      </c>
      <c r="M324" s="62" t="str">
        <f t="shared" si="46"/>
        <v/>
      </c>
      <c r="N324" s="155"/>
      <c r="U324" s="138">
        <f t="shared" si="47"/>
        <v>0</v>
      </c>
      <c r="V324" s="138">
        <f t="shared" si="48"/>
        <v>0</v>
      </c>
    </row>
    <row r="325" spans="1:22" hidden="1" x14ac:dyDescent="0.25">
      <c r="A325" s="167"/>
      <c r="B325" s="168"/>
      <c r="C325" s="169"/>
      <c r="D325" s="169"/>
      <c r="E325" s="170"/>
      <c r="F325" s="58" t="str">
        <f>IF($N$299="","",IF($N$299="INDUSTRIAL",IF(OR($D$297="",$D$303=""),"",IF(OR(D325&gt;$D$304,E325&gt;$D$305),"Rev. Total. abona.",IF(D325="",IF(E325="","",E325/(0.92*1000)),IF(OR($D$297="SAN CRISTOBAL",$D$297="FLOREANA"),VLOOKUP(D325,'Estratos SCY - FLO'!$A$4:$M$108,IF($D$303="A1",2,IF($D$303="A",5,IF($D$303="B",8,11))))+E325/(0.92*1000),VLOOKUP(D325,'Estratos SCX - ISA'!$A$3:$M$107,IF($D$303="A1",2,IF($D$303="A",5,IF($D$303="B",8,11))))+E325/(0.92*1000))))),IF(OR($D$297="",$D$303=""),"",IF(OR(D325&gt;$D$304,E325&gt;$D$305),"Rev. Total. abona.",IF(D325="",IF(E325="","",E325/(0.92*1000)),IF(OR($D$297="SAN CRISTOBAL",$D$297="FLOREANA"),VLOOKUP(D325,'Estratos SCY - FLO'!$O$4:$S$108,IF($D$303="A1",2,IF($D$303="A",3,IF($D$303="B",4,5))))+E325/(0.92*1000),VLOOKUP(D325,'Estratos SCX - ISA'!$O$4:$S$108,IF($D$303="A1",2,IF($D$303="A",3,IF($D$303="B",4,5))))+E325/(0.92*1000)))))))</f>
        <v/>
      </c>
      <c r="G325" s="59" t="str">
        <f t="shared" si="44"/>
        <v/>
      </c>
      <c r="H325" s="183"/>
      <c r="I325" s="183"/>
      <c r="J325" s="59" t="str">
        <f>IF(OR(H325="",$D$10="",$N$10=""),"",IF($D$10="COBRE",VLOOKUP(CDV_PROY_BT!H325,FDV!$B$16:$E$24,IF(CDV_PROY_BT!$N$10="3F",3,4),FALSE),IF($D$10="ACS",VLOOKUP(CDV_PROY_BT!H325,FDV!$B$10:$E$15,IF(CDV_PROY_BT!$N$10="3F",3,4),FALSE),IF($D$10="5005 (PREENSAMBLADO)",VLOOKUP(CDV_PROY_BT!H325,FDV!$B$4:$E$9,IF(CDV_PROY_BT!$N$10="3F",3,4),FALSE),VLOOKUP(CDV_PROY_BT!H325,FDV!$B$25:$E$30,IF(CDV_PROY_BT!$N$10="3F",3,4),FALSE)))))</f>
        <v/>
      </c>
      <c r="K325" s="63" t="str">
        <f t="shared" si="43"/>
        <v/>
      </c>
      <c r="L325" s="62" t="str">
        <f t="shared" si="45"/>
        <v/>
      </c>
      <c r="M325" s="62" t="str">
        <f t="shared" si="46"/>
        <v/>
      </c>
      <c r="N325" s="155"/>
      <c r="U325" s="138">
        <f t="shared" si="47"/>
        <v>0</v>
      </c>
      <c r="V325" s="138">
        <f t="shared" si="48"/>
        <v>0</v>
      </c>
    </row>
    <row r="326" spans="1:22" hidden="1" x14ac:dyDescent="0.25">
      <c r="A326" s="167"/>
      <c r="B326" s="168"/>
      <c r="C326" s="169"/>
      <c r="D326" s="169"/>
      <c r="E326" s="170"/>
      <c r="F326" s="58" t="str">
        <f>IF($N$299="","",IF($N$299="INDUSTRIAL",IF(OR($D$297="",$D$303=""),"",IF(OR(D326&gt;$D$304,E326&gt;$D$305),"Rev. Total. abona.",IF(D326="",IF(E326="","",E326/(0.92*1000)),IF(OR($D$297="SAN CRISTOBAL",$D$297="FLOREANA"),VLOOKUP(D326,'Estratos SCY - FLO'!$A$4:$M$108,IF($D$303="A1",2,IF($D$303="A",5,IF($D$303="B",8,11))))+E326/(0.92*1000),VLOOKUP(D326,'Estratos SCX - ISA'!$A$3:$M$107,IF($D$303="A1",2,IF($D$303="A",5,IF($D$303="B",8,11))))+E326/(0.92*1000))))),IF(OR($D$297="",$D$303=""),"",IF(OR(D326&gt;$D$304,E326&gt;$D$305),"Rev. Total. abona.",IF(D326="",IF(E326="","",E326/(0.92*1000)),IF(OR($D$297="SAN CRISTOBAL",$D$297="FLOREANA"),VLOOKUP(D326,'Estratos SCY - FLO'!$O$4:$S$108,IF($D$303="A1",2,IF($D$303="A",3,IF($D$303="B",4,5))))+E326/(0.92*1000),VLOOKUP(D326,'Estratos SCX - ISA'!$O$4:$S$108,IF($D$303="A1",2,IF($D$303="A",3,IF($D$303="B",4,5))))+E326/(0.92*1000)))))))</f>
        <v/>
      </c>
      <c r="G326" s="59" t="str">
        <f t="shared" si="44"/>
        <v/>
      </c>
      <c r="H326" s="183"/>
      <c r="I326" s="183"/>
      <c r="J326" s="59" t="str">
        <f>IF(OR(H326="",$D$10="",$N$10=""),"",IF($D$10="COBRE",VLOOKUP(CDV_PROY_BT!H326,FDV!$B$16:$E$24,IF(CDV_PROY_BT!$N$10="3F",3,4),FALSE),IF($D$10="ACS",VLOOKUP(CDV_PROY_BT!H326,FDV!$B$10:$E$15,IF(CDV_PROY_BT!$N$10="3F",3,4),FALSE),IF($D$10="5005 (PREENSAMBLADO)",VLOOKUP(CDV_PROY_BT!H326,FDV!$B$4:$E$9,IF(CDV_PROY_BT!$N$10="3F",3,4),FALSE),VLOOKUP(CDV_PROY_BT!H326,FDV!$B$25:$E$30,IF(CDV_PROY_BT!$N$10="3F",3,4),FALSE)))))</f>
        <v/>
      </c>
      <c r="K326" s="63" t="str">
        <f t="shared" si="43"/>
        <v/>
      </c>
      <c r="L326" s="62" t="str">
        <f t="shared" si="45"/>
        <v/>
      </c>
      <c r="M326" s="62" t="str">
        <f t="shared" si="46"/>
        <v/>
      </c>
      <c r="N326" s="155"/>
      <c r="U326" s="138">
        <f t="shared" si="47"/>
        <v>0</v>
      </c>
      <c r="V326" s="138">
        <f t="shared" si="48"/>
        <v>0</v>
      </c>
    </row>
    <row r="327" spans="1:22" hidden="1" x14ac:dyDescent="0.25">
      <c r="A327" s="167"/>
      <c r="B327" s="168"/>
      <c r="C327" s="169"/>
      <c r="D327" s="169"/>
      <c r="E327" s="170"/>
      <c r="F327" s="58" t="str">
        <f>IF($N$299="","",IF($N$299="INDUSTRIAL",IF(OR($D$297="",$D$303=""),"",IF(OR(D327&gt;$D$304,E327&gt;$D$305),"Rev. Total. abona.",IF(D327="",IF(E327="","",E327/(0.92*1000)),IF(OR($D$297="SAN CRISTOBAL",$D$297="FLOREANA"),VLOOKUP(D327,'Estratos SCY - FLO'!$A$4:$M$108,IF($D$303="A1",2,IF($D$303="A",5,IF($D$303="B",8,11))))+E327/(0.92*1000),VLOOKUP(D327,'Estratos SCX - ISA'!$A$3:$M$107,IF($D$303="A1",2,IF($D$303="A",5,IF($D$303="B",8,11))))+E327/(0.92*1000))))),IF(OR($D$297="",$D$303=""),"",IF(OR(D327&gt;$D$304,E327&gt;$D$305),"Rev. Total. abona.",IF(D327="",IF(E327="","",E327/(0.92*1000)),IF(OR($D$297="SAN CRISTOBAL",$D$297="FLOREANA"),VLOOKUP(D327,'Estratos SCY - FLO'!$O$4:$S$108,IF($D$303="A1",2,IF($D$303="A",3,IF($D$303="B",4,5))))+E327/(0.92*1000),VLOOKUP(D327,'Estratos SCX - ISA'!$O$4:$S$108,IF($D$303="A1",2,IF($D$303="A",3,IF($D$303="B",4,5))))+E327/(0.92*1000)))))))</f>
        <v/>
      </c>
      <c r="G327" s="59" t="str">
        <f t="shared" si="44"/>
        <v/>
      </c>
      <c r="H327" s="183"/>
      <c r="I327" s="183"/>
      <c r="J327" s="59" t="str">
        <f>IF(OR(H327="",$D$10="",$N$10=""),"",IF($D$10="COBRE",VLOOKUP(CDV_PROY_BT!H327,FDV!$B$16:$E$24,IF(CDV_PROY_BT!$N$10="3F",3,4),FALSE),IF($D$10="ACS",VLOOKUP(CDV_PROY_BT!H327,FDV!$B$10:$E$15,IF(CDV_PROY_BT!$N$10="3F",3,4),FALSE),IF($D$10="5005 (PREENSAMBLADO)",VLOOKUP(CDV_PROY_BT!H327,FDV!$B$4:$E$9,IF(CDV_PROY_BT!$N$10="3F",3,4),FALSE),VLOOKUP(CDV_PROY_BT!H327,FDV!$B$25:$E$30,IF(CDV_PROY_BT!$N$10="3F",3,4),FALSE)))))</f>
        <v/>
      </c>
      <c r="K327" s="63" t="str">
        <f t="shared" si="43"/>
        <v/>
      </c>
      <c r="L327" s="62" t="str">
        <f t="shared" si="45"/>
        <v/>
      </c>
      <c r="M327" s="62" t="str">
        <f t="shared" si="46"/>
        <v/>
      </c>
      <c r="N327" s="155"/>
      <c r="U327" s="138">
        <f t="shared" si="47"/>
        <v>0</v>
      </c>
      <c r="V327" s="138">
        <f t="shared" si="48"/>
        <v>0</v>
      </c>
    </row>
    <row r="328" spans="1:22" hidden="1" x14ac:dyDescent="0.25">
      <c r="A328" s="167"/>
      <c r="B328" s="168"/>
      <c r="C328" s="169"/>
      <c r="D328" s="169"/>
      <c r="E328" s="170"/>
      <c r="F328" s="58" t="str">
        <f>IF($N$299="","",IF($N$299="INDUSTRIAL",IF(OR($D$297="",$D$303=""),"",IF(OR(D328&gt;$D$304,E328&gt;$D$305),"Rev. Total. abona.",IF(D328="",IF(E328="","",E328/(0.92*1000)),IF(OR($D$297="SAN CRISTOBAL",$D$297="FLOREANA"),VLOOKUP(D328,'Estratos SCY - FLO'!$A$4:$M$108,IF($D$303="A1",2,IF($D$303="A",5,IF($D$303="B",8,11))))+E328/(0.92*1000),VLOOKUP(D328,'Estratos SCX - ISA'!$A$3:$M$107,IF($D$303="A1",2,IF($D$303="A",5,IF($D$303="B",8,11))))+E328/(0.92*1000))))),IF(OR($D$297="",$D$303=""),"",IF(OR(D328&gt;$D$304,E328&gt;$D$305),"Rev. Total. abona.",IF(D328="",IF(E328="","",E328/(0.92*1000)),IF(OR($D$297="SAN CRISTOBAL",$D$297="FLOREANA"),VLOOKUP(D328,'Estratos SCY - FLO'!$O$4:$S$108,IF($D$303="A1",2,IF($D$303="A",3,IF($D$303="B",4,5))))+E328/(0.92*1000),VLOOKUP(D328,'Estratos SCX - ISA'!$O$4:$S$108,IF($D$303="A1",2,IF($D$303="A",3,IF($D$303="B",4,5))))+E328/(0.92*1000)))))))</f>
        <v/>
      </c>
      <c r="G328" s="59" t="str">
        <f t="shared" si="44"/>
        <v/>
      </c>
      <c r="H328" s="183"/>
      <c r="I328" s="183"/>
      <c r="J328" s="59" t="str">
        <f>IF(OR(H328="",$D$10="",$N$10=""),"",IF($D$10="COBRE",VLOOKUP(CDV_PROY_BT!H328,FDV!$B$16:$E$24,IF(CDV_PROY_BT!$N$10="3F",3,4),FALSE),IF($D$10="ACS",VLOOKUP(CDV_PROY_BT!H328,FDV!$B$10:$E$15,IF(CDV_PROY_BT!$N$10="3F",3,4),FALSE),IF($D$10="5005 (PREENSAMBLADO)",VLOOKUP(CDV_PROY_BT!H328,FDV!$B$4:$E$9,IF(CDV_PROY_BT!$N$10="3F",3,4),FALSE),VLOOKUP(CDV_PROY_BT!H328,FDV!$B$25:$E$30,IF(CDV_PROY_BT!$N$10="3F",3,4),FALSE)))))</f>
        <v/>
      </c>
      <c r="K328" s="63" t="str">
        <f t="shared" si="43"/>
        <v/>
      </c>
      <c r="L328" s="62" t="str">
        <f t="shared" si="45"/>
        <v/>
      </c>
      <c r="M328" s="62" t="str">
        <f t="shared" si="46"/>
        <v/>
      </c>
      <c r="N328" s="155"/>
      <c r="U328" s="138">
        <f t="shared" si="47"/>
        <v>0</v>
      </c>
      <c r="V328" s="138">
        <f t="shared" si="48"/>
        <v>0</v>
      </c>
    </row>
    <row r="329" spans="1:22" hidden="1" x14ac:dyDescent="0.25">
      <c r="A329" s="167"/>
      <c r="B329" s="168"/>
      <c r="C329" s="169"/>
      <c r="D329" s="169"/>
      <c r="E329" s="170"/>
      <c r="F329" s="58" t="str">
        <f>IF($N$299="","",IF($N$299="INDUSTRIAL",IF(OR($D$297="",$D$303=""),"",IF(OR(D329&gt;$D$304,E329&gt;$D$305),"Rev. Total. abona.",IF(D329="",IF(E329="","",E329/(0.92*1000)),IF(OR($D$297="SAN CRISTOBAL",$D$297="FLOREANA"),VLOOKUP(D329,'Estratos SCY - FLO'!$A$4:$M$108,IF($D$303="A1",2,IF($D$303="A",5,IF($D$303="B",8,11))))+E329/(0.92*1000),VLOOKUP(D329,'Estratos SCX - ISA'!$A$3:$M$107,IF($D$303="A1",2,IF($D$303="A",5,IF($D$303="B",8,11))))+E329/(0.92*1000))))),IF(OR($D$297="",$D$303=""),"",IF(OR(D329&gt;$D$304,E329&gt;$D$305),"Rev. Total. abona.",IF(D329="",IF(E329="","",E329/(0.92*1000)),IF(OR($D$297="SAN CRISTOBAL",$D$297="FLOREANA"),VLOOKUP(D329,'Estratos SCY - FLO'!$O$4:$S$108,IF($D$303="A1",2,IF($D$303="A",3,IF($D$303="B",4,5))))+E329/(0.92*1000),VLOOKUP(D329,'Estratos SCX - ISA'!$O$4:$S$108,IF($D$303="A1",2,IF($D$303="A",3,IF($D$303="B",4,5))))+E329/(0.92*1000)))))))</f>
        <v/>
      </c>
      <c r="G329" s="59" t="str">
        <f t="shared" si="44"/>
        <v/>
      </c>
      <c r="H329" s="183"/>
      <c r="I329" s="183"/>
      <c r="J329" s="59" t="str">
        <f>IF(OR(H329="",$D$10="",$N$10=""),"",IF($D$10="COBRE",VLOOKUP(CDV_PROY_BT!H329,FDV!$B$16:$E$24,IF(CDV_PROY_BT!$N$10="3F",3,4),FALSE),IF($D$10="ACS",VLOOKUP(CDV_PROY_BT!H329,FDV!$B$10:$E$15,IF(CDV_PROY_BT!$N$10="3F",3,4),FALSE),IF($D$10="5005 (PREENSAMBLADO)",VLOOKUP(CDV_PROY_BT!H329,FDV!$B$4:$E$9,IF(CDV_PROY_BT!$N$10="3F",3,4),FALSE),VLOOKUP(CDV_PROY_BT!H329,FDV!$B$25:$E$30,IF(CDV_PROY_BT!$N$10="3F",3,4),FALSE)))))</f>
        <v/>
      </c>
      <c r="K329" s="63" t="str">
        <f t="shared" si="43"/>
        <v/>
      </c>
      <c r="L329" s="62" t="str">
        <f t="shared" si="45"/>
        <v/>
      </c>
      <c r="M329" s="62" t="str">
        <f t="shared" si="46"/>
        <v/>
      </c>
      <c r="N329" s="155"/>
      <c r="U329" s="138">
        <f t="shared" si="47"/>
        <v>0</v>
      </c>
      <c r="V329" s="138">
        <f t="shared" si="48"/>
        <v>0</v>
      </c>
    </row>
    <row r="330" spans="1:22" hidden="1" x14ac:dyDescent="0.25">
      <c r="A330" s="167"/>
      <c r="B330" s="168"/>
      <c r="C330" s="169"/>
      <c r="D330" s="169"/>
      <c r="E330" s="170"/>
      <c r="F330" s="58" t="str">
        <f>IF($N$299="","",IF($N$299="INDUSTRIAL",IF(OR($D$297="",$D$303=""),"",IF(OR(D330&gt;$D$304,E330&gt;$D$305),"Rev. Total. abona.",IF(D330="",IF(E330="","",E330/(0.92*1000)),IF(OR($D$297="SAN CRISTOBAL",$D$297="FLOREANA"),VLOOKUP(D330,'Estratos SCY - FLO'!$A$4:$M$108,IF($D$303="A1",2,IF($D$303="A",5,IF($D$303="B",8,11))))+E330/(0.92*1000),VLOOKUP(D330,'Estratos SCX - ISA'!$A$3:$M$107,IF($D$303="A1",2,IF($D$303="A",5,IF($D$303="B",8,11))))+E330/(0.92*1000))))),IF(OR($D$297="",$D$303=""),"",IF(OR(D330&gt;$D$304,E330&gt;$D$305),"Rev. Total. abona.",IF(D330="",IF(E330="","",E330/(0.92*1000)),IF(OR($D$297="SAN CRISTOBAL",$D$297="FLOREANA"),VLOOKUP(D330,'Estratos SCY - FLO'!$O$4:$S$108,IF($D$303="A1",2,IF($D$303="A",3,IF($D$303="B",4,5))))+E330/(0.92*1000),VLOOKUP(D330,'Estratos SCX - ISA'!$O$4:$S$108,IF($D$303="A1",2,IF($D$303="A",3,IF($D$303="B",4,5))))+E330/(0.92*1000)))))))</f>
        <v/>
      </c>
      <c r="G330" s="59" t="str">
        <f t="shared" si="44"/>
        <v/>
      </c>
      <c r="H330" s="183"/>
      <c r="I330" s="183"/>
      <c r="J330" s="59" t="str">
        <f>IF(OR(H330="",$D$10="",$N$10=""),"",IF($D$10="COBRE",VLOOKUP(CDV_PROY_BT!H330,FDV!$B$16:$E$24,IF(CDV_PROY_BT!$N$10="3F",3,4),FALSE),IF($D$10="ACS",VLOOKUP(CDV_PROY_BT!H330,FDV!$B$10:$E$15,IF(CDV_PROY_BT!$N$10="3F",3,4),FALSE),IF($D$10="5005 (PREENSAMBLADO)",VLOOKUP(CDV_PROY_BT!H330,FDV!$B$4:$E$9,IF(CDV_PROY_BT!$N$10="3F",3,4),FALSE),VLOOKUP(CDV_PROY_BT!H330,FDV!$B$25:$E$30,IF(CDV_PROY_BT!$N$10="3F",3,4),FALSE)))))</f>
        <v/>
      </c>
      <c r="K330" s="63" t="str">
        <f t="shared" si="43"/>
        <v/>
      </c>
      <c r="L330" s="62" t="str">
        <f t="shared" si="45"/>
        <v/>
      </c>
      <c r="M330" s="62" t="str">
        <f t="shared" si="46"/>
        <v/>
      </c>
      <c r="N330" s="155"/>
      <c r="U330" s="138">
        <f t="shared" si="47"/>
        <v>0</v>
      </c>
      <c r="V330" s="138">
        <f t="shared" si="48"/>
        <v>0</v>
      </c>
    </row>
    <row r="331" spans="1:22" hidden="1" x14ac:dyDescent="0.25">
      <c r="A331" s="167"/>
      <c r="B331" s="168"/>
      <c r="C331" s="169"/>
      <c r="D331" s="169"/>
      <c r="E331" s="170"/>
      <c r="F331" s="58" t="str">
        <f>IF($N$299="","",IF($N$299="INDUSTRIAL",IF(OR($D$297="",$D$303=""),"",IF(OR(D331&gt;$D$304,E331&gt;$D$305),"Rev. Total. abona.",IF(D331="",IF(E331="","",E331/(0.92*1000)),IF(OR($D$297="SAN CRISTOBAL",$D$297="FLOREANA"),VLOOKUP(D331,'Estratos SCY - FLO'!$A$4:$M$108,IF($D$303="A1",2,IF($D$303="A",5,IF($D$303="B",8,11))))+E331/(0.92*1000),VLOOKUP(D331,'Estratos SCX - ISA'!$A$3:$M$107,IF($D$303="A1",2,IF($D$303="A",5,IF($D$303="B",8,11))))+E331/(0.92*1000))))),IF(OR($D$297="",$D$303=""),"",IF(OR(D331&gt;$D$304,E331&gt;$D$305),"Rev. Total. abona.",IF(D331="",IF(E331="","",E331/(0.92*1000)),IF(OR($D$297="SAN CRISTOBAL",$D$297="FLOREANA"),VLOOKUP(D331,'Estratos SCY - FLO'!$O$4:$S$108,IF($D$303="A1",2,IF($D$303="A",3,IF($D$303="B",4,5))))+E331/(0.92*1000),VLOOKUP(D331,'Estratos SCX - ISA'!$O$4:$S$108,IF($D$303="A1",2,IF($D$303="A",3,IF($D$303="B",4,5))))+E331/(0.92*1000)))))))</f>
        <v/>
      </c>
      <c r="G331" s="59" t="str">
        <f t="shared" si="44"/>
        <v/>
      </c>
      <c r="H331" s="183"/>
      <c r="I331" s="183"/>
      <c r="J331" s="59" t="str">
        <f>IF(OR(H331="",$D$10="",$N$10=""),"",IF($D$10="COBRE",VLOOKUP(CDV_PROY_BT!H331,FDV!$B$16:$E$24,IF(CDV_PROY_BT!$N$10="3F",3,4),FALSE),IF($D$10="ACS",VLOOKUP(CDV_PROY_BT!H331,FDV!$B$10:$E$15,IF(CDV_PROY_BT!$N$10="3F",3,4),FALSE),IF($D$10="5005 (PREENSAMBLADO)",VLOOKUP(CDV_PROY_BT!H331,FDV!$B$4:$E$9,IF(CDV_PROY_BT!$N$10="3F",3,4),FALSE),VLOOKUP(CDV_PROY_BT!H331,FDV!$B$25:$E$30,IF(CDV_PROY_BT!$N$10="3F",3,4),FALSE)))))</f>
        <v/>
      </c>
      <c r="K331" s="63" t="str">
        <f t="shared" si="43"/>
        <v/>
      </c>
      <c r="L331" s="62" t="str">
        <f t="shared" si="45"/>
        <v/>
      </c>
      <c r="M331" s="62" t="str">
        <f t="shared" si="46"/>
        <v/>
      </c>
      <c r="N331" s="155"/>
      <c r="U331" s="138">
        <f t="shared" si="47"/>
        <v>0</v>
      </c>
      <c r="V331" s="138">
        <f t="shared" si="48"/>
        <v>0</v>
      </c>
    </row>
    <row r="332" spans="1:22" hidden="1" x14ac:dyDescent="0.25">
      <c r="A332" s="167"/>
      <c r="B332" s="168"/>
      <c r="C332" s="169"/>
      <c r="D332" s="169"/>
      <c r="E332" s="170"/>
      <c r="F332" s="58" t="str">
        <f>IF($N$299="","",IF($N$299="INDUSTRIAL",IF(OR($D$297="",$D$303=""),"",IF(OR(D332&gt;$D$304,E332&gt;$D$305),"Rev. Total. abona.",IF(D332="",IF(E332="","",E332/(0.92*1000)),IF(OR($D$297="SAN CRISTOBAL",$D$297="FLOREANA"),VLOOKUP(D332,'Estratos SCY - FLO'!$A$4:$M$108,IF($D$303="A1",2,IF($D$303="A",5,IF($D$303="B",8,11))))+E332/(0.92*1000),VLOOKUP(D332,'Estratos SCX - ISA'!$A$3:$M$107,IF($D$303="A1",2,IF($D$303="A",5,IF($D$303="B",8,11))))+E332/(0.92*1000))))),IF(OR($D$297="",$D$303=""),"",IF(OR(D332&gt;$D$304,E332&gt;$D$305),"Rev. Total. abona.",IF(D332="",IF(E332="","",E332/(0.92*1000)),IF(OR($D$297="SAN CRISTOBAL",$D$297="FLOREANA"),VLOOKUP(D332,'Estratos SCY - FLO'!$O$4:$S$108,IF($D$303="A1",2,IF($D$303="A",3,IF($D$303="B",4,5))))+E332/(0.92*1000),VLOOKUP(D332,'Estratos SCX - ISA'!$O$4:$S$108,IF($D$303="A1",2,IF($D$303="A",3,IF($D$303="B",4,5))))+E332/(0.92*1000)))))))</f>
        <v/>
      </c>
      <c r="G332" s="59" t="str">
        <f t="shared" si="44"/>
        <v/>
      </c>
      <c r="H332" s="183"/>
      <c r="I332" s="183"/>
      <c r="J332" s="59" t="str">
        <f>IF(OR(H332="",$D$10="",$N$10=""),"",IF($D$10="COBRE",VLOOKUP(CDV_PROY_BT!H332,FDV!$B$16:$E$24,IF(CDV_PROY_BT!$N$10="3F",3,4),FALSE),IF($D$10="ACS",VLOOKUP(CDV_PROY_BT!H332,FDV!$B$10:$E$15,IF(CDV_PROY_BT!$N$10="3F",3,4),FALSE),IF($D$10="5005 (PREENSAMBLADO)",VLOOKUP(CDV_PROY_BT!H332,FDV!$B$4:$E$9,IF(CDV_PROY_BT!$N$10="3F",3,4),FALSE),VLOOKUP(CDV_PROY_BT!H332,FDV!$B$25:$E$30,IF(CDV_PROY_BT!$N$10="3F",3,4),FALSE)))))</f>
        <v/>
      </c>
      <c r="K332" s="63" t="str">
        <f t="shared" si="43"/>
        <v/>
      </c>
      <c r="L332" s="62" t="str">
        <f t="shared" si="45"/>
        <v/>
      </c>
      <c r="M332" s="62" t="str">
        <f t="shared" si="46"/>
        <v/>
      </c>
      <c r="N332" s="155"/>
      <c r="U332" s="138">
        <f t="shared" si="47"/>
        <v>0</v>
      </c>
      <c r="V332" s="138">
        <f t="shared" si="48"/>
        <v>0</v>
      </c>
    </row>
    <row r="333" spans="1:22" hidden="1" x14ac:dyDescent="0.25">
      <c r="A333" s="167"/>
      <c r="B333" s="168"/>
      <c r="C333" s="169"/>
      <c r="D333" s="169"/>
      <c r="E333" s="170"/>
      <c r="F333" s="58" t="str">
        <f>IF($N$299="","",IF($N$299="INDUSTRIAL",IF(OR($D$297="",$D$303=""),"",IF(OR(D333&gt;$D$304,E333&gt;$D$305),"Rev. Total. abona.",IF(D333="",IF(E333="","",E333/(0.92*1000)),IF(OR($D$297="SAN CRISTOBAL",$D$297="FLOREANA"),VLOOKUP(D333,'Estratos SCY - FLO'!$A$4:$M$108,IF($D$303="A1",2,IF($D$303="A",5,IF($D$303="B",8,11))))+E333/(0.92*1000),VLOOKUP(D333,'Estratos SCX - ISA'!$A$3:$M$107,IF($D$303="A1",2,IF($D$303="A",5,IF($D$303="B",8,11))))+E333/(0.92*1000))))),IF(OR($D$297="",$D$303=""),"",IF(OR(D333&gt;$D$304,E333&gt;$D$305),"Rev. Total. abona.",IF(D333="",IF(E333="","",E333/(0.92*1000)),IF(OR($D$297="SAN CRISTOBAL",$D$297="FLOREANA"),VLOOKUP(D333,'Estratos SCY - FLO'!$O$4:$S$108,IF($D$303="A1",2,IF($D$303="A",3,IF($D$303="B",4,5))))+E333/(0.92*1000),VLOOKUP(D333,'Estratos SCX - ISA'!$O$4:$S$108,IF($D$303="A1",2,IF($D$303="A",3,IF($D$303="B",4,5))))+E333/(0.92*1000)))))))</f>
        <v/>
      </c>
      <c r="G333" s="59" t="str">
        <f t="shared" si="44"/>
        <v/>
      </c>
      <c r="H333" s="183"/>
      <c r="I333" s="183"/>
      <c r="J333" s="59" t="str">
        <f>IF(OR(H333="",$D$10="",$N$10=""),"",IF($D$10="COBRE",VLOOKUP(CDV_PROY_BT!H333,FDV!$B$16:$E$24,IF(CDV_PROY_BT!$N$10="3F",3,4),FALSE),IF($D$10="ACS",VLOOKUP(CDV_PROY_BT!H333,FDV!$B$10:$E$15,IF(CDV_PROY_BT!$N$10="3F",3,4),FALSE),IF($D$10="5005 (PREENSAMBLADO)",VLOOKUP(CDV_PROY_BT!H333,FDV!$B$4:$E$9,IF(CDV_PROY_BT!$N$10="3F",3,4),FALSE),VLOOKUP(CDV_PROY_BT!H333,FDV!$B$25:$E$30,IF(CDV_PROY_BT!$N$10="3F",3,4),FALSE)))))</f>
        <v/>
      </c>
      <c r="K333" s="63" t="str">
        <f t="shared" si="43"/>
        <v/>
      </c>
      <c r="L333" s="62" t="str">
        <f t="shared" si="45"/>
        <v/>
      </c>
      <c r="M333" s="62" t="str">
        <f t="shared" si="46"/>
        <v/>
      </c>
      <c r="N333" s="155"/>
      <c r="U333" s="138">
        <f t="shared" si="47"/>
        <v>0</v>
      </c>
      <c r="V333" s="138">
        <f t="shared" si="48"/>
        <v>0</v>
      </c>
    </row>
    <row r="334" spans="1:22" hidden="1" x14ac:dyDescent="0.25">
      <c r="A334" s="167"/>
      <c r="B334" s="168"/>
      <c r="C334" s="169"/>
      <c r="D334" s="169"/>
      <c r="E334" s="170"/>
      <c r="F334" s="58" t="str">
        <f>IF($N$299="","",IF($N$299="INDUSTRIAL",IF(OR($D$297="",$D$303=""),"",IF(OR(D334&gt;$D$304,E334&gt;$D$305),"Rev. Total. abona.",IF(D334="",IF(E334="","",E334/(0.92*1000)),IF(OR($D$297="SAN CRISTOBAL",$D$297="FLOREANA"),VLOOKUP(D334,'Estratos SCY - FLO'!$A$4:$M$108,IF($D$303="A1",2,IF($D$303="A",5,IF($D$303="B",8,11))))+E334/(0.92*1000),VLOOKUP(D334,'Estratos SCX - ISA'!$A$3:$M$107,IF($D$303="A1",2,IF($D$303="A",5,IF($D$303="B",8,11))))+E334/(0.92*1000))))),IF(OR($D$297="",$D$303=""),"",IF(OR(D334&gt;$D$304,E334&gt;$D$305),"Rev. Total. abona.",IF(D334="",IF(E334="","",E334/(0.92*1000)),IF(OR($D$297="SAN CRISTOBAL",$D$297="FLOREANA"),VLOOKUP(D334,'Estratos SCY - FLO'!$O$4:$S$108,IF($D$303="A1",2,IF($D$303="A",3,IF($D$303="B",4,5))))+E334/(0.92*1000),VLOOKUP(D334,'Estratos SCX - ISA'!$O$4:$S$108,IF($D$303="A1",2,IF($D$303="A",3,IF($D$303="B",4,5))))+E334/(0.92*1000)))))))</f>
        <v/>
      </c>
      <c r="G334" s="59" t="str">
        <f t="shared" si="44"/>
        <v/>
      </c>
      <c r="H334" s="183"/>
      <c r="I334" s="183"/>
      <c r="J334" s="59" t="str">
        <f>IF(OR(H334="",$D$10="",$N$10=""),"",IF($D$10="COBRE",VLOOKUP(CDV_PROY_BT!H334,FDV!$B$16:$E$24,IF(CDV_PROY_BT!$N$10="3F",3,4),FALSE),IF($D$10="ACS",VLOOKUP(CDV_PROY_BT!H334,FDV!$B$10:$E$15,IF(CDV_PROY_BT!$N$10="3F",3,4),FALSE),IF($D$10="5005 (PREENSAMBLADO)",VLOOKUP(CDV_PROY_BT!H334,FDV!$B$4:$E$9,IF(CDV_PROY_BT!$N$10="3F",3,4),FALSE),VLOOKUP(CDV_PROY_BT!H334,FDV!$B$25:$E$30,IF(CDV_PROY_BT!$N$10="3F",3,4),FALSE)))))</f>
        <v/>
      </c>
      <c r="K334" s="63" t="str">
        <f t="shared" si="43"/>
        <v/>
      </c>
      <c r="L334" s="62" t="str">
        <f t="shared" si="45"/>
        <v/>
      </c>
      <c r="M334" s="62" t="str">
        <f t="shared" si="46"/>
        <v/>
      </c>
      <c r="N334" s="155"/>
      <c r="U334" s="138">
        <f t="shared" si="47"/>
        <v>0</v>
      </c>
      <c r="V334" s="138">
        <f t="shared" si="48"/>
        <v>0</v>
      </c>
    </row>
    <row r="335" spans="1:22" hidden="1" x14ac:dyDescent="0.25">
      <c r="A335" s="167"/>
      <c r="B335" s="168"/>
      <c r="C335" s="169"/>
      <c r="D335" s="169"/>
      <c r="E335" s="170"/>
      <c r="F335" s="58" t="str">
        <f>IF($N$299="","",IF($N$299="INDUSTRIAL",IF(OR($D$297="",$D$303=""),"",IF(OR(D335&gt;$D$304,E335&gt;$D$305),"Rev. Total. abona.",IF(D335="",IF(E335="","",E335/(0.92*1000)),IF(OR($D$297="SAN CRISTOBAL",$D$297="FLOREANA"),VLOOKUP(D335,'Estratos SCY - FLO'!$A$4:$M$108,IF($D$303="A1",2,IF($D$303="A",5,IF($D$303="B",8,11))))+E335/(0.92*1000),VLOOKUP(D335,'Estratos SCX - ISA'!$A$3:$M$107,IF($D$303="A1",2,IF($D$303="A",5,IF($D$303="B",8,11))))+E335/(0.92*1000))))),IF(OR($D$297="",$D$303=""),"",IF(OR(D335&gt;$D$304,E335&gt;$D$305),"Rev. Total. abona.",IF(D335="",IF(E335="","",E335/(0.92*1000)),IF(OR($D$297="SAN CRISTOBAL",$D$297="FLOREANA"),VLOOKUP(D335,'Estratos SCY - FLO'!$O$4:$S$108,IF($D$303="A1",2,IF($D$303="A",3,IF($D$303="B",4,5))))+E335/(0.92*1000),VLOOKUP(D335,'Estratos SCX - ISA'!$O$4:$S$108,IF($D$303="A1",2,IF($D$303="A",3,IF($D$303="B",4,5))))+E335/(0.92*1000)))))))</f>
        <v/>
      </c>
      <c r="G335" s="59" t="str">
        <f t="shared" si="44"/>
        <v/>
      </c>
      <c r="H335" s="183"/>
      <c r="I335" s="183"/>
      <c r="J335" s="59" t="str">
        <f>IF(OR(H335="",$D$10="",$N$10=""),"",IF($D$10="COBRE",VLOOKUP(CDV_PROY_BT!H335,FDV!$B$16:$E$24,IF(CDV_PROY_BT!$N$10="3F",3,4),FALSE),IF($D$10="ACS",VLOOKUP(CDV_PROY_BT!H335,FDV!$B$10:$E$15,IF(CDV_PROY_BT!$N$10="3F",3,4),FALSE),IF($D$10="5005 (PREENSAMBLADO)",VLOOKUP(CDV_PROY_BT!H335,FDV!$B$4:$E$9,IF(CDV_PROY_BT!$N$10="3F",3,4),FALSE),VLOOKUP(CDV_PROY_BT!H335,FDV!$B$25:$E$30,IF(CDV_PROY_BT!$N$10="3F",3,4),FALSE)))))</f>
        <v/>
      </c>
      <c r="K335" s="63" t="str">
        <f t="shared" si="43"/>
        <v/>
      </c>
      <c r="L335" s="62" t="str">
        <f t="shared" si="45"/>
        <v/>
      </c>
      <c r="M335" s="62" t="str">
        <f t="shared" si="46"/>
        <v/>
      </c>
      <c r="N335" s="155"/>
      <c r="U335" s="138">
        <f t="shared" si="47"/>
        <v>0</v>
      </c>
      <c r="V335" s="138">
        <f t="shared" si="48"/>
        <v>0</v>
      </c>
    </row>
    <row r="336" spans="1:22" hidden="1" x14ac:dyDescent="0.25">
      <c r="A336" s="167"/>
      <c r="B336" s="168"/>
      <c r="C336" s="169"/>
      <c r="D336" s="169"/>
      <c r="E336" s="170"/>
      <c r="F336" s="58" t="str">
        <f>IF($N$299="","",IF($N$299="INDUSTRIAL",IF(OR($D$297="",$D$303=""),"",IF(OR(D336&gt;$D$304,E336&gt;$D$305),"Rev. Total. abona.",IF(D336="",IF(E336="","",E336/(0.92*1000)),IF(OR($D$297="SAN CRISTOBAL",$D$297="FLOREANA"),VLOOKUP(D336,'Estratos SCY - FLO'!$A$4:$M$108,IF($D$303="A1",2,IF($D$303="A",5,IF($D$303="B",8,11))))+E336/(0.92*1000),VLOOKUP(D336,'Estratos SCX - ISA'!$A$3:$M$107,IF($D$303="A1",2,IF($D$303="A",5,IF($D$303="B",8,11))))+E336/(0.92*1000))))),IF(OR($D$297="",$D$303=""),"",IF(OR(D336&gt;$D$304,E336&gt;$D$305),"Rev. Total. abona.",IF(D336="",IF(E336="","",E336/(0.92*1000)),IF(OR($D$297="SAN CRISTOBAL",$D$297="FLOREANA"),VLOOKUP(D336,'Estratos SCY - FLO'!$O$4:$S$108,IF($D$303="A1",2,IF($D$303="A",3,IF($D$303="B",4,5))))+E336/(0.92*1000),VLOOKUP(D336,'Estratos SCX - ISA'!$O$4:$S$108,IF($D$303="A1",2,IF($D$303="A",3,IF($D$303="B",4,5))))+E336/(0.92*1000)))))))</f>
        <v/>
      </c>
      <c r="G336" s="59" t="str">
        <f t="shared" si="44"/>
        <v/>
      </c>
      <c r="H336" s="183"/>
      <c r="I336" s="183"/>
      <c r="J336" s="59" t="str">
        <f>IF(OR(H336="",$D$10="",$N$10=""),"",IF($D$10="COBRE",VLOOKUP(CDV_PROY_BT!H336,FDV!$B$16:$E$24,IF(CDV_PROY_BT!$N$10="3F",3,4),FALSE),IF($D$10="ACS",VLOOKUP(CDV_PROY_BT!H336,FDV!$B$10:$E$15,IF(CDV_PROY_BT!$N$10="3F",3,4),FALSE),IF($D$10="5005 (PREENSAMBLADO)",VLOOKUP(CDV_PROY_BT!H336,FDV!$B$4:$E$9,IF(CDV_PROY_BT!$N$10="3F",3,4),FALSE),VLOOKUP(CDV_PROY_BT!H336,FDV!$B$25:$E$30,IF(CDV_PROY_BT!$N$10="3F",3,4),FALSE)))))</f>
        <v/>
      </c>
      <c r="K336" s="63" t="str">
        <f t="shared" si="43"/>
        <v/>
      </c>
      <c r="L336" s="62" t="str">
        <f t="shared" si="45"/>
        <v/>
      </c>
      <c r="M336" s="62" t="str">
        <f t="shared" si="46"/>
        <v/>
      </c>
      <c r="N336" s="155"/>
      <c r="U336" s="138">
        <f t="shared" si="47"/>
        <v>0</v>
      </c>
      <c r="V336" s="138">
        <f t="shared" si="48"/>
        <v>0</v>
      </c>
    </row>
    <row r="337" spans="1:22" hidden="1" x14ac:dyDescent="0.25">
      <c r="A337" s="167"/>
      <c r="B337" s="168"/>
      <c r="C337" s="169"/>
      <c r="D337" s="169"/>
      <c r="E337" s="170"/>
      <c r="F337" s="58" t="str">
        <f>IF($N$299="","",IF($N$299="INDUSTRIAL",IF(OR($D$297="",$D$303=""),"",IF(OR(D337&gt;$D$304,E337&gt;$D$305),"Rev. Total. abona.",IF(D337="",IF(E337="","",E337/(0.92*1000)),IF(OR($D$297="SAN CRISTOBAL",$D$297="FLOREANA"),VLOOKUP(D337,'Estratos SCY - FLO'!$A$4:$M$108,IF($D$303="A1",2,IF($D$303="A",5,IF($D$303="B",8,11))))+E337/(0.92*1000),VLOOKUP(D337,'Estratos SCX - ISA'!$A$3:$M$107,IF($D$303="A1",2,IF($D$303="A",5,IF($D$303="B",8,11))))+E337/(0.92*1000))))),IF(OR($D$297="",$D$303=""),"",IF(OR(D337&gt;$D$304,E337&gt;$D$305),"Rev. Total. abona.",IF(D337="",IF(E337="","",E337/(0.92*1000)),IF(OR($D$297="SAN CRISTOBAL",$D$297="FLOREANA"),VLOOKUP(D337,'Estratos SCY - FLO'!$O$4:$S$108,IF($D$303="A1",2,IF($D$303="A",3,IF($D$303="B",4,5))))+E337/(0.92*1000),VLOOKUP(D337,'Estratos SCX - ISA'!$O$4:$S$108,IF($D$303="A1",2,IF($D$303="A",3,IF($D$303="B",4,5))))+E337/(0.92*1000)))))))</f>
        <v/>
      </c>
      <c r="G337" s="59" t="str">
        <f t="shared" si="44"/>
        <v/>
      </c>
      <c r="H337" s="183"/>
      <c r="I337" s="183"/>
      <c r="J337" s="59" t="str">
        <f>IF(OR(H337="",$D$10="",$N$10=""),"",IF($D$10="COBRE",VLOOKUP(CDV_PROY_BT!H337,FDV!$B$16:$E$24,IF(CDV_PROY_BT!$N$10="3F",3,4),FALSE),IF($D$10="ACS",VLOOKUP(CDV_PROY_BT!H337,FDV!$B$10:$E$15,IF(CDV_PROY_BT!$N$10="3F",3,4),FALSE),IF($D$10="5005 (PREENSAMBLADO)",VLOOKUP(CDV_PROY_BT!H337,FDV!$B$4:$E$9,IF(CDV_PROY_BT!$N$10="3F",3,4),FALSE),VLOOKUP(CDV_PROY_BT!H337,FDV!$B$25:$E$30,IF(CDV_PROY_BT!$N$10="3F",3,4),FALSE)))))</f>
        <v/>
      </c>
      <c r="K337" s="63" t="str">
        <f t="shared" si="43"/>
        <v/>
      </c>
      <c r="L337" s="62" t="str">
        <f t="shared" si="45"/>
        <v/>
      </c>
      <c r="M337" s="62" t="str">
        <f t="shared" si="46"/>
        <v/>
      </c>
      <c r="N337" s="155"/>
      <c r="U337" s="138">
        <f t="shared" si="47"/>
        <v>0</v>
      </c>
      <c r="V337" s="138">
        <f t="shared" si="48"/>
        <v>0</v>
      </c>
    </row>
    <row r="338" spans="1:22" hidden="1" x14ac:dyDescent="0.25">
      <c r="A338" s="167"/>
      <c r="B338" s="168"/>
      <c r="C338" s="169"/>
      <c r="D338" s="169"/>
      <c r="E338" s="170"/>
      <c r="F338" s="58" t="str">
        <f>IF($N$299="","",IF($N$299="INDUSTRIAL",IF(OR($D$297="",$D$303=""),"",IF(OR(D338&gt;$D$304,E338&gt;$D$305),"Rev. Total. abona.",IF(D338="",IF(E338="","",E338/(0.92*1000)),IF(OR($D$297="SAN CRISTOBAL",$D$297="FLOREANA"),VLOOKUP(D338,'Estratos SCY - FLO'!$A$4:$M$108,IF($D$303="A1",2,IF($D$303="A",5,IF($D$303="B",8,11))))+E338/(0.92*1000),VLOOKUP(D338,'Estratos SCX - ISA'!$A$3:$M$107,IF($D$303="A1",2,IF($D$303="A",5,IF($D$303="B",8,11))))+E338/(0.92*1000))))),IF(OR($D$297="",$D$303=""),"",IF(OR(D338&gt;$D$304,E338&gt;$D$305),"Rev. Total. abona.",IF(D338="",IF(E338="","",E338/(0.92*1000)),IF(OR($D$297="SAN CRISTOBAL",$D$297="FLOREANA"),VLOOKUP(D338,'Estratos SCY - FLO'!$O$4:$S$108,IF($D$303="A1",2,IF($D$303="A",3,IF($D$303="B",4,5))))+E338/(0.92*1000),VLOOKUP(D338,'Estratos SCX - ISA'!$O$4:$S$108,IF($D$303="A1",2,IF($D$303="A",3,IF($D$303="B",4,5))))+E338/(0.92*1000)))))))</f>
        <v/>
      </c>
      <c r="G338" s="59" t="str">
        <f t="shared" si="44"/>
        <v/>
      </c>
      <c r="H338" s="183"/>
      <c r="I338" s="183"/>
      <c r="J338" s="59" t="str">
        <f>IF(OR(H338="",$D$10="",$N$10=""),"",IF($D$10="COBRE",VLOOKUP(CDV_PROY_BT!H338,FDV!$B$16:$E$24,IF(CDV_PROY_BT!$N$10="3F",3,4),FALSE),IF($D$10="ACS",VLOOKUP(CDV_PROY_BT!H338,FDV!$B$10:$E$15,IF(CDV_PROY_BT!$N$10="3F",3,4),FALSE),IF($D$10="5005 (PREENSAMBLADO)",VLOOKUP(CDV_PROY_BT!H338,FDV!$B$4:$E$9,IF(CDV_PROY_BT!$N$10="3F",3,4),FALSE),VLOOKUP(CDV_PROY_BT!H338,FDV!$B$25:$E$30,IF(CDV_PROY_BT!$N$10="3F",3,4),FALSE)))))</f>
        <v/>
      </c>
      <c r="K338" s="63" t="str">
        <f t="shared" si="43"/>
        <v/>
      </c>
      <c r="L338" s="62" t="str">
        <f t="shared" si="45"/>
        <v/>
      </c>
      <c r="M338" s="62" t="str">
        <f t="shared" si="46"/>
        <v/>
      </c>
      <c r="N338" s="155"/>
      <c r="U338" s="138">
        <f t="shared" si="47"/>
        <v>0</v>
      </c>
      <c r="V338" s="138">
        <f t="shared" si="48"/>
        <v>0</v>
      </c>
    </row>
    <row r="339" spans="1:22" hidden="1" x14ac:dyDescent="0.25">
      <c r="A339" s="167"/>
      <c r="B339" s="168"/>
      <c r="C339" s="169"/>
      <c r="D339" s="169"/>
      <c r="E339" s="170"/>
      <c r="F339" s="58" t="str">
        <f>IF($N$299="","",IF($N$299="INDUSTRIAL",IF(OR($D$297="",$D$303=""),"",IF(OR(D339&gt;$D$304,E339&gt;$D$305),"Rev. Total. abona.",IF(D339="",IF(E339="","",E339/(0.92*1000)),IF(OR($D$297="SAN CRISTOBAL",$D$297="FLOREANA"),VLOOKUP(D339,'Estratos SCY - FLO'!$A$4:$M$108,IF($D$303="A1",2,IF($D$303="A",5,IF($D$303="B",8,11))))+E339/(0.92*1000),VLOOKUP(D339,'Estratos SCX - ISA'!$A$3:$M$107,IF($D$303="A1",2,IF($D$303="A",5,IF($D$303="B",8,11))))+E339/(0.92*1000))))),IF(OR($D$297="",$D$303=""),"",IF(OR(D339&gt;$D$304,E339&gt;$D$305),"Rev. Total. abona.",IF(D339="",IF(E339="","",E339/(0.92*1000)),IF(OR($D$297="SAN CRISTOBAL",$D$297="FLOREANA"),VLOOKUP(D339,'Estratos SCY - FLO'!$O$4:$S$108,IF($D$303="A1",2,IF($D$303="A",3,IF($D$303="B",4,5))))+E339/(0.92*1000),VLOOKUP(D339,'Estratos SCX - ISA'!$O$4:$S$108,IF($D$303="A1",2,IF($D$303="A",3,IF($D$303="B",4,5))))+E339/(0.92*1000)))))))</f>
        <v/>
      </c>
      <c r="G339" s="59" t="str">
        <f t="shared" si="44"/>
        <v/>
      </c>
      <c r="H339" s="183"/>
      <c r="I339" s="183"/>
      <c r="J339" s="59" t="str">
        <f>IF(OR(H339="",$D$10="",$N$10=""),"",IF($D$10="COBRE",VLOOKUP(CDV_PROY_BT!H339,FDV!$B$16:$E$24,IF(CDV_PROY_BT!$N$10="3F",3,4),FALSE),IF($D$10="ACS",VLOOKUP(CDV_PROY_BT!H339,FDV!$B$10:$E$15,IF(CDV_PROY_BT!$N$10="3F",3,4),FALSE),IF($D$10="5005 (PREENSAMBLADO)",VLOOKUP(CDV_PROY_BT!H339,FDV!$B$4:$E$9,IF(CDV_PROY_BT!$N$10="3F",3,4),FALSE),VLOOKUP(CDV_PROY_BT!H339,FDV!$B$25:$E$30,IF(CDV_PROY_BT!$N$10="3F",3,4),FALSE)))))</f>
        <v/>
      </c>
      <c r="K339" s="63" t="str">
        <f t="shared" si="43"/>
        <v/>
      </c>
      <c r="L339" s="62" t="str">
        <f t="shared" si="45"/>
        <v/>
      </c>
      <c r="M339" s="62" t="str">
        <f t="shared" si="46"/>
        <v/>
      </c>
      <c r="N339" s="156"/>
      <c r="U339" s="138">
        <f t="shared" si="47"/>
        <v>0</v>
      </c>
      <c r="V339" s="138">
        <f t="shared" si="48"/>
        <v>0</v>
      </c>
    </row>
    <row r="340" spans="1:22" ht="15.75" hidden="1" thickBot="1" x14ac:dyDescent="0.3">
      <c r="A340" s="178"/>
      <c r="B340" s="179"/>
      <c r="C340" s="180"/>
      <c r="D340" s="180"/>
      <c r="E340" s="181"/>
      <c r="F340" s="68" t="str">
        <f>IF($N$299="","",IF($N$299="INDUSTRIAL",IF(OR($D$297="",$D$303=""),"",IF(OR(D340&gt;$D$304,E340&gt;$D$305),"Rev. Total. abona.",IF(D340="",IF(E340="","",E340/(0.92*1000)),IF(OR($D$297="SAN CRISTOBAL",$D$297="FLOREANA"),VLOOKUP(D340,'Estratos SCY - FLO'!$A$4:$M$108,IF($D$303="A1",2,IF($D$303="A",5,IF($D$303="B",8,11))))+E340/(0.92*1000),VLOOKUP(D340,'Estratos SCX - ISA'!$A$3:$M$107,IF($D$303="A1",2,IF($D$303="A",5,IF($D$303="B",8,11))))+E340/(0.92*1000))))),IF(OR($D$297="",$D$303=""),"",IF(OR(D340&gt;$D$304,E340&gt;$D$305),"Rev. Total. abona.",IF(D340="",IF(E340="","",E340/(0.92*1000)),IF(OR($D$297="SAN CRISTOBAL",$D$297="FLOREANA"),VLOOKUP(D340,'Estratos SCY - FLO'!$O$4:$S$108,IF($D$303="A1",2,IF($D$303="A",3,IF($D$303="B",4,5))))+E340/(0.92*1000),VLOOKUP(D340,'Estratos SCX - ISA'!$O$4:$S$108,IF($D$303="A1",2,IF($D$303="A",3,IF($D$303="B",4,5))))+E340/(0.92*1000)))))))</f>
        <v/>
      </c>
      <c r="G340" s="69" t="str">
        <f t="shared" si="44"/>
        <v/>
      </c>
      <c r="H340" s="184"/>
      <c r="I340" s="184"/>
      <c r="J340" s="69" t="str">
        <f>IF(OR(H340="",$D$10="",$N$10=""),"",IF($D$10="COBRE",VLOOKUP(CDV_PROY_BT!H340,FDV!$B$16:$E$24,IF(CDV_PROY_BT!$N$10="3F",3,4),FALSE),IF($D$10="ACS",VLOOKUP(CDV_PROY_BT!H340,FDV!$B$10:$E$15,IF(CDV_PROY_BT!$N$10="3F",3,4),FALSE),IF($D$10="5005 (PREENSAMBLADO)",VLOOKUP(CDV_PROY_BT!H340,FDV!$B$4:$E$9,IF(CDV_PROY_BT!$N$10="3F",3,4),FALSE),VLOOKUP(CDV_PROY_BT!H340,FDV!$B$25:$E$30,IF(CDV_PROY_BT!$N$10="3F",3,4),FALSE)))))</f>
        <v/>
      </c>
      <c r="K340" s="65" t="str">
        <f t="shared" si="43"/>
        <v/>
      </c>
      <c r="L340" s="64" t="str">
        <f t="shared" si="45"/>
        <v/>
      </c>
      <c r="M340" s="64" t="str">
        <f t="shared" si="46"/>
        <v/>
      </c>
      <c r="N340" s="157"/>
      <c r="U340" s="138">
        <f t="shared" si="47"/>
        <v>0</v>
      </c>
      <c r="V340" s="138">
        <f t="shared" si="48"/>
        <v>0</v>
      </c>
    </row>
    <row r="341" spans="1:22" ht="15.75" hidden="1" thickBot="1" x14ac:dyDescent="0.3">
      <c r="A341" s="143"/>
      <c r="B341" s="67" t="str">
        <f>IF(N310="","",N310)</f>
        <v>P26</v>
      </c>
      <c r="C341" s="144"/>
      <c r="D341" s="144"/>
      <c r="E341" s="145"/>
      <c r="F341" s="68"/>
      <c r="G341" s="69" t="str">
        <f t="shared" si="44"/>
        <v/>
      </c>
      <c r="H341" s="146" t="e">
        <f>IF(B341="","",IF(B341-A341=1,H340,""))</f>
        <v>#VALUE!</v>
      </c>
      <c r="I341" s="146"/>
      <c r="J341" s="70" t="e">
        <f>IF(OR(H341="",$D$10="",$N$10=""),"",IF($D$10="COBRE",VLOOKUP(CDV_PROY_BT!H341,FDV!$B$16:$E$24,IF(CDV_PROY_BT!$N$10="3F",3,4),FALSE),IF($D$10="ACS",VLOOKUP(CDV_PROY_BT!H341,FDV!$B$10:$E$15,IF(CDV_PROY_BT!$N$10="3F",3,4),FALSE),IF($D$10="5005 (PREENSAMBLADO)",VLOOKUP(CDV_PROY_BT!H341,FDV!$B$4:$E$9,IF(CDV_PROY_BT!$N$10="3F",3,4),FALSE),VLOOKUP(CDV_PROY_BT!H341,FDV!$B$25:$E$30,IF(CDV_PROY_BT!$N$10="3F",3,4),FALSE)))))</f>
        <v>#VALUE!</v>
      </c>
      <c r="K341" s="71" t="str">
        <f t="shared" si="43"/>
        <v/>
      </c>
      <c r="L341" s="68" t="str">
        <f t="shared" ref="L341" si="49">IF(C341="","",ROUND(K341/J341,2))</f>
        <v/>
      </c>
      <c r="M341" s="72">
        <v>0</v>
      </c>
      <c r="N341" s="66"/>
      <c r="U341" s="138">
        <f t="shared" ref="U341:U342" si="50">+IF(D341&gt;0,C341,0)</f>
        <v>0</v>
      </c>
      <c r="V341" s="138">
        <f t="shared" ref="V341:V342" si="51">IF(C341="",0,C341*G341)</f>
        <v>0</v>
      </c>
    </row>
    <row r="342" spans="1:22" ht="15.75" hidden="1" thickBot="1" x14ac:dyDescent="0.3">
      <c r="A342" s="73" t="s">
        <v>113</v>
      </c>
      <c r="B342" s="74"/>
      <c r="C342" s="75"/>
      <c r="D342" s="75"/>
      <c r="E342" s="76"/>
      <c r="F342" s="77"/>
      <c r="G342" s="78"/>
      <c r="H342" s="79"/>
      <c r="I342" s="79"/>
      <c r="J342" s="78"/>
      <c r="K342" s="121"/>
      <c r="L342" s="121"/>
      <c r="M342" s="128"/>
      <c r="N342" s="237"/>
      <c r="U342" s="138">
        <f t="shared" si="50"/>
        <v>0</v>
      </c>
      <c r="V342" s="138">
        <f t="shared" si="51"/>
        <v>0</v>
      </c>
    </row>
    <row r="343" spans="1:22" ht="15.75" hidden="1" thickBot="1" x14ac:dyDescent="0.3">
      <c r="A343" s="93" t="s">
        <v>96</v>
      </c>
      <c r="B343" s="94">
        <f>+ROUND(SUMIF(H314:H340,"4/0",V314:V342)*1.015,0)</f>
        <v>0</v>
      </c>
      <c r="C343" s="93" t="s">
        <v>97</v>
      </c>
      <c r="D343" s="94">
        <f>ROUND((SUMIF(H314:H340,"3/0",V314:V342))*1.015,0)</f>
        <v>0</v>
      </c>
      <c r="E343" s="82" t="s">
        <v>95</v>
      </c>
      <c r="F343" s="81">
        <f>ROUND((SUMIF(H314:H340,"2/0",V314:V342))*1.015,0)</f>
        <v>0</v>
      </c>
      <c r="G343" s="80" t="s">
        <v>57</v>
      </c>
      <c r="H343" s="81">
        <f>ROUND((SUMIF(H314:H340,"1/0",V314:V342))*1.015,0)</f>
        <v>116</v>
      </c>
      <c r="I343" s="93" t="s">
        <v>58</v>
      </c>
      <c r="J343" s="94">
        <f>ROUND((SUMIF(H314:H340,"2",V314:V342))*1.015,0)</f>
        <v>23</v>
      </c>
      <c r="K343" s="147"/>
      <c r="L343" s="91"/>
      <c r="M343" s="92"/>
      <c r="N343" s="238"/>
    </row>
    <row r="344" spans="1:22" ht="15.75" hidden="1" thickBot="1" x14ac:dyDescent="0.3">
      <c r="A344" s="119" t="s">
        <v>107</v>
      </c>
      <c r="B344" s="92"/>
      <c r="C344" s="91"/>
      <c r="D344" s="92"/>
      <c r="E344" s="91"/>
      <c r="F344" s="92"/>
      <c r="G344" s="91"/>
      <c r="H344" s="92"/>
      <c r="I344" s="92"/>
      <c r="J344" s="91"/>
      <c r="K344" s="92"/>
      <c r="L344" s="91"/>
      <c r="M344" s="92"/>
      <c r="N344" s="238"/>
    </row>
    <row r="345" spans="1:22" ht="15.75" hidden="1" thickBot="1" x14ac:dyDescent="0.3">
      <c r="A345" s="93" t="s">
        <v>96</v>
      </c>
      <c r="B345" s="94">
        <f>+ROUND(SUMIF(I314:I340,"4/0",U314:U342)*1.015,0)</f>
        <v>0</v>
      </c>
      <c r="C345" s="93" t="s">
        <v>97</v>
      </c>
      <c r="D345" s="94">
        <f>ROUND((SUMIF(I314:I340,"3/0",U314:U342))*1.015,0)</f>
        <v>0</v>
      </c>
      <c r="E345" s="93" t="s">
        <v>95</v>
      </c>
      <c r="F345" s="94">
        <f>ROUND((SUMIF(I314:I340,"2/0",U314:U342))*1.015,0)</f>
        <v>0</v>
      </c>
      <c r="G345" s="93" t="s">
        <v>57</v>
      </c>
      <c r="H345" s="94">
        <f>ROUND((SUMIF(I314:I340,"1/0",U314:U342))*1.015,0)</f>
        <v>116</v>
      </c>
      <c r="I345" s="93" t="s">
        <v>58</v>
      </c>
      <c r="J345" s="94">
        <f>ROUND((SUMIF(I314:I340,"2",U314:U342))*1.015,0)</f>
        <v>23</v>
      </c>
      <c r="L345" s="91"/>
      <c r="M345" s="92"/>
      <c r="N345" s="238"/>
    </row>
    <row r="346" spans="1:22" ht="15.75" hidden="1" thickBot="1" x14ac:dyDescent="0.3">
      <c r="A346" s="239" t="s">
        <v>123</v>
      </c>
      <c r="B346" s="239"/>
      <c r="C346" s="239"/>
      <c r="D346" s="21">
        <f>IF(N301="","",SUM(C314:C340))</f>
        <v>137</v>
      </c>
      <c r="E346" s="28" t="s">
        <v>59</v>
      </c>
      <c r="G346" s="21"/>
      <c r="H346" s="21"/>
      <c r="I346" s="21"/>
      <c r="J346" s="21"/>
      <c r="K346" s="21"/>
      <c r="L346" s="21"/>
      <c r="M346" s="23"/>
      <c r="N346" s="83" t="s">
        <v>80</v>
      </c>
    </row>
    <row r="347" spans="1:22" hidden="1" x14ac:dyDescent="0.25">
      <c r="A347" s="36" t="s">
        <v>60</v>
      </c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1"/>
      <c r="N347" s="84" t="s">
        <v>61</v>
      </c>
    </row>
    <row r="348" spans="1:22" ht="15.75" hidden="1" thickBot="1" x14ac:dyDescent="0.3">
      <c r="A348" s="148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3"/>
      <c r="N348" s="85">
        <f>MAX(N314:N340)</f>
        <v>6.09</v>
      </c>
    </row>
    <row r="349" spans="1:22" ht="15.75" hidden="1" thickBot="1" x14ac:dyDescent="0.3"/>
    <row r="350" spans="1:22" ht="15.75" hidden="1" thickBot="1" x14ac:dyDescent="0.3">
      <c r="A350" s="18"/>
      <c r="B350" s="18"/>
      <c r="C350" s="19"/>
      <c r="D350" s="19"/>
      <c r="E350" s="19"/>
      <c r="F350" s="20"/>
      <c r="G350" s="18"/>
      <c r="H350" s="18"/>
      <c r="I350" s="18"/>
      <c r="J350" s="19"/>
      <c r="K350" s="18"/>
      <c r="L350" s="18"/>
      <c r="M350" s="131" t="s">
        <v>122</v>
      </c>
      <c r="N350" s="161" t="s">
        <v>200</v>
      </c>
    </row>
    <row r="351" spans="1:22" ht="18" hidden="1" x14ac:dyDescent="0.25">
      <c r="A351" s="260" t="s">
        <v>62</v>
      </c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</row>
    <row r="352" spans="1:22" ht="18" hidden="1" x14ac:dyDescent="0.25">
      <c r="A352" s="192"/>
      <c r="B352" s="192"/>
      <c r="C352" s="192"/>
      <c r="D352" s="192"/>
      <c r="E352" s="192"/>
      <c r="F352" s="22" t="s">
        <v>111</v>
      </c>
      <c r="G352" s="192"/>
      <c r="H352" s="192"/>
      <c r="I352" s="192"/>
      <c r="J352" s="192"/>
      <c r="K352" s="192"/>
      <c r="L352" s="192"/>
      <c r="M352" s="192"/>
      <c r="N352" s="87"/>
    </row>
    <row r="353" spans="1:31" ht="15.75" hidden="1" x14ac:dyDescent="0.25">
      <c r="A353" s="261" t="s">
        <v>112</v>
      </c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U353" s="138" t="s">
        <v>63</v>
      </c>
      <c r="W353" s="138" t="s">
        <v>24</v>
      </c>
      <c r="Y353" s="138" t="s">
        <v>69</v>
      </c>
      <c r="AA353" s="138" t="s">
        <v>72</v>
      </c>
      <c r="AB353" s="138" t="s">
        <v>77</v>
      </c>
      <c r="AC353" s="138" t="s">
        <v>79</v>
      </c>
      <c r="AD353" s="138" t="s">
        <v>160</v>
      </c>
      <c r="AE353" s="138" t="s">
        <v>166</v>
      </c>
    </row>
    <row r="354" spans="1:31" ht="16.5" hidden="1" thickBot="1" x14ac:dyDescent="0.3">
      <c r="A354" s="24"/>
      <c r="B354" s="18"/>
      <c r="C354" s="19"/>
      <c r="D354" s="19"/>
      <c r="E354" s="19"/>
      <c r="F354" s="20"/>
      <c r="G354" s="20"/>
      <c r="H354" s="18"/>
      <c r="I354" s="18"/>
      <c r="J354" s="18"/>
      <c r="K354" s="19"/>
      <c r="L354" s="18"/>
      <c r="M354" s="18"/>
      <c r="N354" s="23"/>
      <c r="U354" s="138" t="s">
        <v>64</v>
      </c>
      <c r="W354" s="138" t="s">
        <v>82</v>
      </c>
      <c r="Y354" s="138" t="s">
        <v>70</v>
      </c>
      <c r="AA354" s="138" t="s">
        <v>73</v>
      </c>
      <c r="AB354" s="138" t="s">
        <v>29</v>
      </c>
      <c r="AC354" s="139">
        <v>2</v>
      </c>
      <c r="AD354" s="138" t="s">
        <v>161</v>
      </c>
      <c r="AE354" s="138">
        <v>0.65</v>
      </c>
    </row>
    <row r="355" spans="1:31" ht="15.75" hidden="1" thickBot="1" x14ac:dyDescent="0.3">
      <c r="A355" s="25" t="s">
        <v>23</v>
      </c>
      <c r="B355" s="26"/>
      <c r="C355" s="88"/>
      <c r="D355" s="250" t="s">
        <v>64</v>
      </c>
      <c r="E355" s="250"/>
      <c r="F355" s="262" t="s">
        <v>92</v>
      </c>
      <c r="G355" s="263"/>
      <c r="H355" s="264" t="e">
        <f>+H297</f>
        <v>#REF!</v>
      </c>
      <c r="I355" s="265"/>
      <c r="J355" s="266"/>
      <c r="K355" s="267" t="s">
        <v>81</v>
      </c>
      <c r="L355" s="268"/>
      <c r="M355" s="269" t="e">
        <f>+M297</f>
        <v>#REF!</v>
      </c>
      <c r="N355" s="270"/>
      <c r="U355" s="138" t="s">
        <v>65</v>
      </c>
      <c r="W355" s="138" t="s">
        <v>83</v>
      </c>
      <c r="Y355" s="138" t="s">
        <v>7</v>
      </c>
      <c r="AA355" s="138" t="s">
        <v>76</v>
      </c>
      <c r="AB355" s="138" t="s">
        <v>78</v>
      </c>
      <c r="AC355" s="139" t="s">
        <v>0</v>
      </c>
      <c r="AD355" s="138" t="s">
        <v>162</v>
      </c>
      <c r="AE355" s="138">
        <v>0.7</v>
      </c>
    </row>
    <row r="356" spans="1:31" ht="15.75" hidden="1" thickBot="1" x14ac:dyDescent="0.3">
      <c r="A356" s="21"/>
      <c r="B356" s="21"/>
      <c r="C356" s="21"/>
      <c r="D356" s="21"/>
      <c r="E356" s="21"/>
      <c r="F356" s="28"/>
      <c r="G356" s="28"/>
      <c r="H356" s="21"/>
      <c r="I356" s="21"/>
      <c r="J356" s="21"/>
      <c r="K356" s="21"/>
      <c r="L356" s="21"/>
      <c r="M356" s="21"/>
      <c r="N356" s="23"/>
      <c r="U356" s="138" t="s">
        <v>66</v>
      </c>
      <c r="W356" s="138" t="s">
        <v>68</v>
      </c>
      <c r="Y356" s="138" t="s">
        <v>27</v>
      </c>
      <c r="AA356" s="138" t="s">
        <v>74</v>
      </c>
      <c r="AC356" s="139" t="s">
        <v>1</v>
      </c>
      <c r="AD356" s="138" t="s">
        <v>163</v>
      </c>
      <c r="AE356" s="138">
        <v>0.8</v>
      </c>
    </row>
    <row r="357" spans="1:31" ht="15.75" hidden="1" thickBot="1" x14ac:dyDescent="0.3">
      <c r="A357" s="25" t="s">
        <v>24</v>
      </c>
      <c r="B357" s="26"/>
      <c r="C357" s="26"/>
      <c r="D357" s="249" t="s">
        <v>68</v>
      </c>
      <c r="E357" s="250"/>
      <c r="F357" s="251"/>
      <c r="G357" s="26"/>
      <c r="H357" s="29"/>
      <c r="I357" s="29"/>
      <c r="J357" s="26"/>
      <c r="K357" s="26"/>
      <c r="L357" s="26" t="s">
        <v>164</v>
      </c>
      <c r="M357" s="26"/>
      <c r="N357" s="211" t="s">
        <v>163</v>
      </c>
      <c r="U357" s="138" t="s">
        <v>67</v>
      </c>
      <c r="Y357" s="138" t="s">
        <v>9</v>
      </c>
      <c r="AA357" s="138" t="s">
        <v>75</v>
      </c>
      <c r="AC357" s="139" t="s">
        <v>2</v>
      </c>
      <c r="AE357" s="138">
        <v>0.9</v>
      </c>
    </row>
    <row r="358" spans="1:31" ht="15.75" hidden="1" thickBot="1" x14ac:dyDescent="0.3">
      <c r="A358" s="23" t="s">
        <v>25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 t="s">
        <v>168</v>
      </c>
      <c r="L358" s="208"/>
      <c r="M358" s="23"/>
      <c r="N358" s="43" t="str">
        <f>IF(N359="","",IF(N359="3F","220 / 127 V","240 / 120 V"))</f>
        <v>220 / 127 V</v>
      </c>
      <c r="AC358" s="141" t="s">
        <v>3</v>
      </c>
      <c r="AE358" s="138">
        <v>1</v>
      </c>
    </row>
    <row r="359" spans="1:31" ht="15.75" hidden="1" thickBot="1" x14ac:dyDescent="0.3">
      <c r="A359" s="30" t="s">
        <v>26</v>
      </c>
      <c r="B359" s="18"/>
      <c r="C359" s="23"/>
      <c r="D359" s="252" t="s">
        <v>70</v>
      </c>
      <c r="E359" s="253"/>
      <c r="F359" s="18"/>
      <c r="G359" s="18"/>
      <c r="H359" s="18"/>
      <c r="I359" s="18"/>
      <c r="J359" s="18"/>
      <c r="K359" s="23"/>
      <c r="L359" s="18" t="s">
        <v>169</v>
      </c>
      <c r="M359" s="18"/>
      <c r="N359" s="151" t="s">
        <v>78</v>
      </c>
      <c r="U359" s="138" t="s">
        <v>64</v>
      </c>
      <c r="W359" s="138" t="s">
        <v>29</v>
      </c>
      <c r="X359" s="138" t="s">
        <v>78</v>
      </c>
    </row>
    <row r="360" spans="1:31" ht="15.75" hidden="1" thickBot="1" x14ac:dyDescent="0.3">
      <c r="A360" s="23"/>
      <c r="B360" s="31"/>
      <c r="C360" s="23"/>
      <c r="D360" s="19"/>
      <c r="E360" s="32"/>
      <c r="F360" s="32"/>
      <c r="G360" s="20"/>
      <c r="H360" s="20"/>
      <c r="I360" s="20"/>
      <c r="J360" s="33"/>
      <c r="K360" s="21" t="s">
        <v>165</v>
      </c>
      <c r="L360" s="35"/>
      <c r="M360" s="18"/>
      <c r="N360" s="209">
        <v>0.65</v>
      </c>
      <c r="U360" s="138" t="s">
        <v>84</v>
      </c>
      <c r="W360" s="138">
        <v>10</v>
      </c>
      <c r="X360" s="138">
        <v>30</v>
      </c>
    </row>
    <row r="361" spans="1:31" ht="15.75" hidden="1" thickBot="1" x14ac:dyDescent="0.3">
      <c r="A361" s="36" t="s">
        <v>71</v>
      </c>
      <c r="B361" s="37"/>
      <c r="C361" s="37"/>
      <c r="D361" s="150" t="s">
        <v>73</v>
      </c>
      <c r="E361" s="38"/>
      <c r="F361" s="39"/>
      <c r="G361" s="39"/>
      <c r="H361" s="39"/>
      <c r="I361" s="39"/>
      <c r="J361" s="37"/>
      <c r="K361" s="36"/>
      <c r="L361" s="37"/>
      <c r="M361" s="89" t="s">
        <v>30</v>
      </c>
      <c r="N361" s="190" t="s">
        <v>187</v>
      </c>
      <c r="U361" s="138" t="s">
        <v>85</v>
      </c>
      <c r="W361" s="138">
        <v>15</v>
      </c>
      <c r="X361" s="138">
        <v>50</v>
      </c>
    </row>
    <row r="362" spans="1:31" ht="15.75" hidden="1" thickBot="1" x14ac:dyDescent="0.3">
      <c r="A362" s="41" t="s">
        <v>31</v>
      </c>
      <c r="B362" s="21"/>
      <c r="C362" s="21"/>
      <c r="D362" s="150">
        <v>11</v>
      </c>
      <c r="E362" s="21"/>
      <c r="F362" s="28"/>
      <c r="G362" s="42" t="s">
        <v>32</v>
      </c>
      <c r="H362" s="254" t="e">
        <f>+H304</f>
        <v>#REF!</v>
      </c>
      <c r="I362" s="255"/>
      <c r="J362" s="255"/>
      <c r="K362" s="41"/>
      <c r="L362" s="21"/>
      <c r="M362" s="115" t="s">
        <v>93</v>
      </c>
      <c r="N362" s="210">
        <f>+N363/N360</f>
        <v>72.579737164714118</v>
      </c>
      <c r="U362" s="138" t="s">
        <v>86</v>
      </c>
      <c r="W362" s="138">
        <v>25</v>
      </c>
      <c r="X362" s="138">
        <v>75</v>
      </c>
    </row>
    <row r="363" spans="1:31" ht="15.75" hidden="1" thickBot="1" x14ac:dyDescent="0.3">
      <c r="A363" s="41" t="s">
        <v>34</v>
      </c>
      <c r="B363" s="21"/>
      <c r="C363" s="21"/>
      <c r="D363" s="162">
        <v>550</v>
      </c>
      <c r="E363" s="41"/>
      <c r="F363" s="28"/>
      <c r="G363" s="42" t="s">
        <v>35</v>
      </c>
      <c r="H363" s="256" t="e">
        <f>+H305</f>
        <v>#REF!</v>
      </c>
      <c r="I363" s="257"/>
      <c r="J363" s="257"/>
      <c r="K363" s="41"/>
      <c r="L363" s="21"/>
      <c r="M363" s="115" t="s">
        <v>167</v>
      </c>
      <c r="N363" s="116">
        <f>IF($N$357="","",IF($N$357="INDUSTRIAL",IF(OR(D355="",D361="",D362=""),"",(IF(OR(D355="SAN CRISTOBAL",D355="FLOREANA"),VLOOKUP(D362,'Estratos SCY - FLO'!$A$4:$M$108,IF(D361="A1",2,IF(D361="A",5,IF(D361="B",8,11))),0),VLOOKUP(D362,'Estratos SCX - ISA'!$A$4:$M$108,IF(D361="A1",2,IF(D361="A",5,IF(D361="B",8,11))),0))+D363/920)*N360),IF(OR(D355="",D361="",D362=""),"",(IF(OR(D355="SAN CRISTOBAL",D355="FLOREANA"),VLOOKUP(D362,'Estratos SCY - FLO'!$O$4:$S$108,IF(D361="A1",2,IF(D361="A",3,IF(D361="B",4,5))),0),VLOOKUP(D362,'Estratos SCX - ISA'!$O$4:$S$108,IF(D361="A1",2,IF(D361="A",3,IF(D361="B",4,5))),0))+D363/920)*N360)))</f>
        <v>47.176829157064176</v>
      </c>
      <c r="U363" s="138" t="s">
        <v>87</v>
      </c>
      <c r="W363" s="138">
        <v>37.5</v>
      </c>
      <c r="X363" s="138">
        <v>100</v>
      </c>
    </row>
    <row r="364" spans="1:31" ht="36" hidden="1" customHeight="1" thickBot="1" x14ac:dyDescent="0.3">
      <c r="A364" s="258" t="str">
        <f>+IF(OR(N357="INDUSTRIAL"),"NOTA: Estratos:  A1 (Consumo-Alto); A (Consumo-Medio); B(Consumo-Bajo); C(Consumo-Mínimo)",IF(N357="","","NOTA: Estratos:  A1 (Casco Urbano-Sector hotelero);A (Barrios Centricos); B(Zona Periferica); C(Zona Rural)"))</f>
        <v>NOTA: Estratos:  A1 (Consumo-Alto); A (Consumo-Medio); B(Consumo-Bajo); C(Consumo-Mínimo)</v>
      </c>
      <c r="B364" s="259"/>
      <c r="C364" s="259"/>
      <c r="D364" s="259"/>
      <c r="E364" s="259"/>
      <c r="F364" s="259"/>
      <c r="G364" s="259"/>
      <c r="H364" s="259"/>
      <c r="I364" s="259"/>
      <c r="J364" s="259"/>
      <c r="K364" s="44"/>
      <c r="L364" s="34"/>
      <c r="M364" s="130" t="str">
        <f>+IF(OR(N359="",D361="",D362=""),"","POT. NOMINAL TRAFO. (KVA):")</f>
        <v>POT. NOMINAL TRAFO. (KVA):</v>
      </c>
      <c r="N364" s="117">
        <f>IF(OR(N359="",N360="",N360=0),"",IF(N359="1F",IF(N363&lt;$W$11,$W$11,IF(AND(N363&gt;$W$11,N363&lt;$W$12),$W$12,IF(AND(N363&gt;$W$12,N363&lt;$W$13),$W$13,IF(AND(N363&gt;$W$13,N363&lt;$W$14),$W$14,IF(AND(N363&gt;$W$14,N363&lt;$W$15),$W$15,IF(AND(N363&gt;$W$15,N363&lt;$W$16),$W$16,IF(AND(N363&gt;$W$16,N363&lt;$W$17),$W$17,IF(AND(N363&gt;$W$17,N363&lt;$W$18),$W$18,IF(AND(N363&gt;$W$18,N363&lt;$W$19),$W$19,""))))))))),IF($N$363&lt;$X$11,$X$11,IF(AND(N363&gt;$X$11,N363&lt;$X$12),$X$12,IF(AND(N363&gt;$X$12,N363&lt;$X$13),$X$13,IF(AND(N363&gt;$X$13,N363&lt;$X$14),$X$14,IF(AND(N363&gt;$X$14,N363&lt;$X$15),$X$15,IF(AND(N363&gt;$X$15,N363&lt;$X$16),$X$16,IF(AND(N363&gt;$X$16,N363&lt;$X$17),$X$17,"")))))))))</f>
        <v>50</v>
      </c>
      <c r="U364" s="138" t="s">
        <v>88</v>
      </c>
      <c r="W364" s="138">
        <v>50</v>
      </c>
      <c r="X364" s="138">
        <v>125</v>
      </c>
    </row>
    <row r="365" spans="1:31" ht="15.75" hidden="1" thickBot="1" x14ac:dyDescent="0.3">
      <c r="A365" s="21"/>
      <c r="B365" s="21"/>
      <c r="C365" s="21"/>
      <c r="D365" s="21"/>
      <c r="E365" s="21"/>
      <c r="F365" s="28"/>
      <c r="G365" s="28"/>
      <c r="H365" s="21"/>
      <c r="I365" s="21"/>
      <c r="J365" s="21"/>
      <c r="K365" s="21"/>
      <c r="L365" s="21"/>
      <c r="M365" s="21"/>
      <c r="N365" s="23"/>
      <c r="U365" s="138" t="s">
        <v>89</v>
      </c>
      <c r="W365" s="138">
        <v>75</v>
      </c>
      <c r="X365" s="138">
        <v>150</v>
      </c>
    </row>
    <row r="366" spans="1:31" ht="19.5" hidden="1" thickBot="1" x14ac:dyDescent="0.3">
      <c r="A366" s="46" t="s">
        <v>36</v>
      </c>
      <c r="B366" s="47"/>
      <c r="C366" s="47"/>
      <c r="D366" s="48" t="s">
        <v>37</v>
      </c>
      <c r="E366" s="49"/>
      <c r="F366" s="50"/>
      <c r="G366" s="50"/>
      <c r="H366" s="37"/>
      <c r="I366" s="37"/>
      <c r="J366" s="37"/>
      <c r="K366" s="37"/>
      <c r="L366" s="37"/>
      <c r="M366" s="37"/>
      <c r="N366" s="40"/>
      <c r="U366" s="138" t="s">
        <v>90</v>
      </c>
      <c r="W366" s="138">
        <v>100</v>
      </c>
      <c r="X366" s="138">
        <v>200</v>
      </c>
    </row>
    <row r="367" spans="1:31" ht="15.75" hidden="1" thickBot="1" x14ac:dyDescent="0.3">
      <c r="A367" s="41"/>
      <c r="B367" s="21"/>
      <c r="C367" s="21"/>
      <c r="D367" s="21"/>
      <c r="E367" s="21"/>
      <c r="F367" s="28"/>
      <c r="G367" s="28"/>
      <c r="H367" s="21"/>
      <c r="I367" s="21"/>
      <c r="J367" s="21"/>
      <c r="K367" s="21"/>
      <c r="L367" s="21" t="s">
        <v>186</v>
      </c>
      <c r="M367" s="21"/>
      <c r="N367" s="163"/>
      <c r="U367" s="138" t="s">
        <v>91</v>
      </c>
      <c r="W367" s="138">
        <v>112.5</v>
      </c>
    </row>
    <row r="368" spans="1:31" ht="15.75" hidden="1" thickBot="1" x14ac:dyDescent="0.3">
      <c r="A368" s="44"/>
      <c r="B368" s="34"/>
      <c r="C368" s="34"/>
      <c r="D368" s="34"/>
      <c r="E368" s="34"/>
      <c r="F368" s="45"/>
      <c r="G368" s="45"/>
      <c r="H368" s="34"/>
      <c r="I368" s="34"/>
      <c r="J368" s="34"/>
      <c r="K368" s="34"/>
      <c r="L368" s="113" t="s">
        <v>102</v>
      </c>
      <c r="M368" s="142"/>
      <c r="N368" s="163" t="s">
        <v>150</v>
      </c>
      <c r="W368" s="138">
        <v>125</v>
      </c>
    </row>
    <row r="369" spans="1:22" ht="15.75" hidden="1" thickBot="1" x14ac:dyDescent="0.3">
      <c r="A369" s="21"/>
      <c r="B369" s="21"/>
      <c r="C369" s="21"/>
      <c r="D369" s="21"/>
      <c r="E369" s="21"/>
      <c r="F369" s="28"/>
      <c r="G369" s="28"/>
      <c r="H369" s="21"/>
      <c r="I369" s="21"/>
      <c r="J369" s="21"/>
      <c r="K369" s="21"/>
      <c r="L369" s="21"/>
      <c r="M369" s="21"/>
      <c r="N369" s="23"/>
    </row>
    <row r="370" spans="1:22" ht="15.75" hidden="1" thickBot="1" x14ac:dyDescent="0.3">
      <c r="A370" s="244" t="s">
        <v>38</v>
      </c>
      <c r="B370" s="245"/>
      <c r="C370" s="52" t="s">
        <v>39</v>
      </c>
      <c r="D370" s="52" t="s">
        <v>40</v>
      </c>
      <c r="E370" s="53" t="s">
        <v>41</v>
      </c>
      <c r="F370" s="53" t="s">
        <v>42</v>
      </c>
      <c r="G370" s="244" t="s">
        <v>43</v>
      </c>
      <c r="H370" s="246"/>
      <c r="I370" s="246"/>
      <c r="J370" s="245"/>
      <c r="K370" s="247" t="s">
        <v>44</v>
      </c>
      <c r="L370" s="246" t="s">
        <v>45</v>
      </c>
      <c r="M370" s="246"/>
      <c r="N370" s="245"/>
      <c r="U370" s="236" t="s">
        <v>98</v>
      </c>
      <c r="V370" s="236" t="s">
        <v>99</v>
      </c>
    </row>
    <row r="371" spans="1:22" ht="15.75" hidden="1" thickBot="1" x14ac:dyDescent="0.3">
      <c r="A371" s="52" t="s">
        <v>46</v>
      </c>
      <c r="B371" s="52" t="s">
        <v>47</v>
      </c>
      <c r="C371" s="54" t="s">
        <v>48</v>
      </c>
      <c r="D371" s="54" t="s">
        <v>49</v>
      </c>
      <c r="E371" s="55" t="s">
        <v>50</v>
      </c>
      <c r="F371" s="55" t="s">
        <v>51</v>
      </c>
      <c r="G371" s="56" t="s">
        <v>52</v>
      </c>
      <c r="H371" s="43" t="s">
        <v>105</v>
      </c>
      <c r="I371" s="124" t="s">
        <v>106</v>
      </c>
      <c r="J371" s="43" t="s">
        <v>53</v>
      </c>
      <c r="K371" s="248"/>
      <c r="L371" s="53" t="s">
        <v>54</v>
      </c>
      <c r="M371" s="43" t="s">
        <v>55</v>
      </c>
      <c r="N371" s="57" t="s">
        <v>56</v>
      </c>
      <c r="U371" s="236"/>
      <c r="V371" s="236"/>
    </row>
    <row r="372" spans="1:22" hidden="1" x14ac:dyDescent="0.25">
      <c r="A372" s="191" t="str">
        <f>IF(N368="","",N368)</f>
        <v>P37</v>
      </c>
      <c r="B372" s="164" t="s">
        <v>151</v>
      </c>
      <c r="C372" s="165">
        <v>31</v>
      </c>
      <c r="D372" s="165">
        <v>6</v>
      </c>
      <c r="E372" s="166">
        <v>220</v>
      </c>
      <c r="F372" s="193">
        <f>IF($N$357="","",IF($N$357="INDUSTRIAL",IF(OR($D$355="",$D$361=""),"",IF(OR(D372&gt;$D$362,E372&gt;$D$363),"Rev. Total. abona.",IF(D372="",IF(E372="","",E372/(0.92*1000)),IF(OR($D$355="SAN CRISTOBAL",$D$355="FLOREANA"),VLOOKUP(D372,'Estratos SCY - FLO'!$A$4:$M$108,IF($D$361="A1",2,IF($D$361="A",5,IF($D$361="B",8,11))))+E372/(0.92*1000),VLOOKUP(D372,'Estratos SCX - ISA'!$A$3:$M$107,IF($D$361="A1",2,IF($D$361="A",5,IF($D$361="B",8,11))))+E372/(0.92*1000))))),IF(OR($D$355="",$D$361=""),"",IF(OR(D372&gt;$D$362,E372&gt;$D$363),"Rev. Total. abona.",IF(D372="",IF(E372="","",E372/(0.92*1000)),IF(OR($D$355="SAN CRISTOBAL",$D$355="FLOREANA"),VLOOKUP(D372,'Estratos SCY - FLO'!$O$4:$S$108,IF($D$361="A1",2,IF($D$361="A",3,IF($D$361="B",4,5))))+E372/(0.92*1000),VLOOKUP(D372,'Estratos SCX - ISA'!$O$4:$S$108,IF($D$361="A1",2,IF($D$361="A",3,IF($D$361="B",4,5))))+E372/(0.92*1000)))))))</f>
        <v>41.703366377377698</v>
      </c>
      <c r="G372" s="95">
        <f>IF(OR($N$10="",C372=""),"",IF($N$10="1F",1,3))</f>
        <v>1</v>
      </c>
      <c r="H372" s="182" t="s">
        <v>0</v>
      </c>
      <c r="I372" s="182" t="s">
        <v>0</v>
      </c>
      <c r="J372" s="95">
        <f>IF(OR(H372="",$D$10="",$N$10=""),"",IF($D$10="COBRE",VLOOKUP(CDV_PROY_BT!H372,FDV!$B$16:$E$24,IF(CDV_PROY_BT!$N$10="3F",3,4),FALSE),IF($D$10="ACS",VLOOKUP(CDV_PROY_BT!H372,FDV!$B$10:$E$15,IF(CDV_PROY_BT!$N$10="3F",3,4),FALSE),IF($D$10="5005 (PREENSAMBLADO)",VLOOKUP(CDV_PROY_BT!H372,FDV!$B$4:$E$9,IF(CDV_PROY_BT!$N$10="3F",3,4),FALSE),VLOOKUP(CDV_PROY_BT!H372,FDV!$B$25:$E$30,IF(CDV_PROY_BT!$N$10="3F",3,4),FALSE)))))</f>
        <v>412</v>
      </c>
      <c r="K372" s="60">
        <f t="shared" ref="K372:K399" si="52">IF(C372="","",ROUND(F372*C372,0))</f>
        <v>1293</v>
      </c>
      <c r="L372" s="61">
        <f>IF($N$19="","",IF(C372="","",ROUND(K372/J372,2)))</f>
        <v>3.14</v>
      </c>
      <c r="M372" s="61">
        <f>IF(C372="","",VLOOKUP(A372,$B$372:$N$399,12,FALSE)+L372+N367)</f>
        <v>3.14</v>
      </c>
      <c r="N372" s="154"/>
      <c r="U372" s="138">
        <f>+IF(C372="",0,C372)</f>
        <v>31</v>
      </c>
      <c r="V372" s="138">
        <f>IF(OR(C372="",G372=""),0,C372*G372)</f>
        <v>31</v>
      </c>
    </row>
    <row r="373" spans="1:22" hidden="1" x14ac:dyDescent="0.25">
      <c r="A373" s="167" t="s">
        <v>151</v>
      </c>
      <c r="B373" s="168" t="s">
        <v>155</v>
      </c>
      <c r="C373" s="169">
        <v>31</v>
      </c>
      <c r="D373" s="169">
        <v>3</v>
      </c>
      <c r="E373" s="170">
        <v>110</v>
      </c>
      <c r="F373" s="62">
        <f>IF($N$357="","",IF($N$357="INDUSTRIAL",IF(OR($D$355="",$D$361=""),"",IF(OR(D373&gt;$D$362,E373&gt;$D$363),"Rev. Total. abona.",IF(D373="",IF(E373="","",E373/(0.92*1000)),IF(OR($D$355="SAN CRISTOBAL",$D$355="FLOREANA"),VLOOKUP(D373,'Estratos SCY - FLO'!$A$4:$M$108,IF($D$361="A1",2,IF($D$361="A",5,IF($D$361="B",8,11))))+E373/(0.92*1000),VLOOKUP(D373,'Estratos SCX - ISA'!$A$3:$M$107,IF($D$361="A1",2,IF($D$361="A",5,IF($D$361="B",8,11))))+E373/(0.92*1000))))),IF(OR($D$355="",$D$361=""),"",IF(OR(D373&gt;$D$362,E373&gt;$D$363),"Rev. Total. abona.",IF(D373="",IF(E373="","",E373/(0.92*1000)),IF(OR($D$355="SAN CRISTOBAL",$D$355="FLOREANA"),VLOOKUP(D373,'Estratos SCY - FLO'!$O$4:$S$108,IF($D$361="A1",2,IF($D$361="A",3,IF($D$361="B",4,5))))+E373/(0.92*1000),VLOOKUP(D373,'Estratos SCX - ISA'!$O$4:$S$108,IF($D$361="A1",2,IF($D$361="A",3,IF($D$361="B",4,5))))+E373/(0.92*1000)))))))</f>
        <v>22.186213405145857</v>
      </c>
      <c r="G373" s="59">
        <f t="shared" ref="G373:G399" si="53">IF(OR($N$10="",C373=""),"",IF($N$10="1F",1,3))</f>
        <v>1</v>
      </c>
      <c r="H373" s="183" t="s">
        <v>0</v>
      </c>
      <c r="I373" s="183" t="s">
        <v>0</v>
      </c>
      <c r="J373" s="59">
        <f>IF(OR(H373="",$D$10="",$N$10=""),"",IF($D$10="COBRE",VLOOKUP(CDV_PROY_BT!H373,FDV!$B$16:$E$24,IF(CDV_PROY_BT!$N$10="3F",3,4),FALSE),IF($D$10="ACS",VLOOKUP(CDV_PROY_BT!H373,FDV!$B$10:$E$15,IF(CDV_PROY_BT!$N$10="3F",3,4),FALSE),IF($D$10="5005 (PREENSAMBLADO)",VLOOKUP(CDV_PROY_BT!H373,FDV!$B$4:$E$9,IF(CDV_PROY_BT!$N$10="3F",3,4),FALSE),VLOOKUP(CDV_PROY_BT!H373,FDV!$B$25:$E$30,IF(CDV_PROY_BT!$N$10="3F",3,4),FALSE)))))</f>
        <v>412</v>
      </c>
      <c r="K373" s="63">
        <f t="shared" si="52"/>
        <v>688</v>
      </c>
      <c r="L373" s="62">
        <f t="shared" ref="L373:L398" si="54">IF($N$19="","",IF(C373="","",ROUND(K373/J373,2)))</f>
        <v>1.67</v>
      </c>
      <c r="M373" s="62">
        <f t="shared" ref="M373:M398" si="55">IF(C373="","",VLOOKUP(A373,$B$372:$N$399,12,FALSE)+L373)</f>
        <v>4.8100000000000005</v>
      </c>
      <c r="N373" s="155">
        <f>+M373</f>
        <v>4.8100000000000005</v>
      </c>
      <c r="U373" s="138">
        <f t="shared" ref="U373:U398" si="56">+IF(C373="",0,C373)</f>
        <v>31</v>
      </c>
      <c r="V373" s="138">
        <f t="shared" ref="V373:V398" si="57">IF(OR(C373="",G373=""),0,C373*G373)</f>
        <v>31</v>
      </c>
    </row>
    <row r="374" spans="1:22" hidden="1" x14ac:dyDescent="0.25">
      <c r="A374" s="167" t="s">
        <v>150</v>
      </c>
      <c r="B374" s="168" t="s">
        <v>149</v>
      </c>
      <c r="C374" s="169">
        <v>31</v>
      </c>
      <c r="D374" s="169">
        <v>4</v>
      </c>
      <c r="E374" s="170">
        <v>220</v>
      </c>
      <c r="F374" s="58">
        <f>IF($N$357="","",IF($N$357="INDUSTRIAL",IF(OR($D$355="",$D$361=""),"",IF(OR(D374&gt;$D$362,E374&gt;$D$363),"Rev. Total. abona.",IF(D374="",IF(E374="","",E374/(0.92*1000)),IF(OR($D$355="SAN CRISTOBAL",$D$355="FLOREANA"),VLOOKUP(D374,'Estratos SCY - FLO'!$A$4:$M$108,IF($D$361="A1",2,IF($D$361="A",5,IF($D$361="B",8,11))))+E374/(0.92*1000),VLOOKUP(D374,'Estratos SCX - ISA'!$A$3:$M$107,IF($D$361="A1",2,IF($D$361="A",5,IF($D$361="B",8,11))))+E374/(0.92*1000))))),IF(OR($D$355="",$D$361=""),"",IF(OR(D374&gt;$D$362,E374&gt;$D$363),"Rev. Total. abona.",IF(D374="",IF(E374="","",E374/(0.92*1000)),IF(OR($D$355="SAN CRISTOBAL",$D$355="FLOREANA"),VLOOKUP(D374,'Estratos SCY - FLO'!$O$4:$S$108,IF($D$361="A1",2,IF($D$361="A",3,IF($D$361="B",4,5))))+E374/(0.92*1000),VLOOKUP(D374,'Estratos SCX - ISA'!$O$4:$S$108,IF($D$361="A1",2,IF($D$361="A",3,IF($D$361="B",4,5))))+E374/(0.92*1000)))))))</f>
        <v>28.909323754303077</v>
      </c>
      <c r="G374" s="59">
        <f t="shared" si="53"/>
        <v>1</v>
      </c>
      <c r="H374" s="183" t="s">
        <v>0</v>
      </c>
      <c r="I374" s="183" t="s">
        <v>0</v>
      </c>
      <c r="J374" s="59">
        <f>IF(OR(H374="",$D$10="",$N$10=""),"",IF($D$10="COBRE",VLOOKUP(CDV_PROY_BT!H374,FDV!$B$16:$E$24,IF(CDV_PROY_BT!$N$10="3F",3,4),FALSE),IF($D$10="ACS",VLOOKUP(CDV_PROY_BT!H374,FDV!$B$10:$E$15,IF(CDV_PROY_BT!$N$10="3F",3,4),FALSE),IF($D$10="5005 (PREENSAMBLADO)",VLOOKUP(CDV_PROY_BT!H374,FDV!$B$4:$E$9,IF(CDV_PROY_BT!$N$10="3F",3,4),FALSE),VLOOKUP(CDV_PROY_BT!H374,FDV!$B$25:$E$30,IF(CDV_PROY_BT!$N$10="3F",3,4),FALSE)))))</f>
        <v>412</v>
      </c>
      <c r="K374" s="63">
        <f t="shared" si="52"/>
        <v>896</v>
      </c>
      <c r="L374" s="62">
        <f t="shared" si="54"/>
        <v>2.17</v>
      </c>
      <c r="M374" s="62">
        <f t="shared" si="55"/>
        <v>2.17</v>
      </c>
      <c r="N374" s="155"/>
      <c r="U374" s="138">
        <f t="shared" si="56"/>
        <v>31</v>
      </c>
      <c r="V374" s="138">
        <f t="shared" si="57"/>
        <v>31</v>
      </c>
    </row>
    <row r="375" spans="1:22" hidden="1" x14ac:dyDescent="0.25">
      <c r="A375" s="167" t="s">
        <v>149</v>
      </c>
      <c r="B375" s="168" t="s">
        <v>152</v>
      </c>
      <c r="C375" s="169">
        <v>31</v>
      </c>
      <c r="D375" s="169">
        <v>3</v>
      </c>
      <c r="E375" s="170">
        <v>110</v>
      </c>
      <c r="F375" s="58">
        <f>IF($N$357="","",IF($N$357="INDUSTRIAL",IF(OR($D$355="",$D$361=""),"",IF(OR(D375&gt;$D$362,E375&gt;$D$363),"Rev. Total. abona.",IF(D375="",IF(E375="","",E375/(0.92*1000)),IF(OR($D$355="SAN CRISTOBAL",$D$355="FLOREANA"),VLOOKUP(D375,'Estratos SCY - FLO'!$A$4:$M$108,IF($D$361="A1",2,IF($D$361="A",5,IF($D$361="B",8,11))))+E375/(0.92*1000),VLOOKUP(D375,'Estratos SCX - ISA'!$A$3:$M$107,IF($D$361="A1",2,IF($D$361="A",5,IF($D$361="B",8,11))))+E375/(0.92*1000))))),IF(OR($D$355="",$D$361=""),"",IF(OR(D375&gt;$D$362,E375&gt;$D$363),"Rev. Total. abona.",IF(D375="",IF(E375="","",E375/(0.92*1000)),IF(OR($D$355="SAN CRISTOBAL",$D$355="FLOREANA"),VLOOKUP(D375,'Estratos SCY - FLO'!$O$4:$S$108,IF($D$361="A1",2,IF($D$361="A",3,IF($D$361="B",4,5))))+E375/(0.92*1000),VLOOKUP(D375,'Estratos SCX - ISA'!$O$4:$S$108,IF($D$361="A1",2,IF($D$361="A",3,IF($D$361="B",4,5))))+E375/(0.92*1000)))))))</f>
        <v>22.186213405145857</v>
      </c>
      <c r="G375" s="59">
        <f t="shared" si="53"/>
        <v>1</v>
      </c>
      <c r="H375" s="183" t="s">
        <v>0</v>
      </c>
      <c r="I375" s="183" t="s">
        <v>0</v>
      </c>
      <c r="J375" s="59">
        <f>IF(OR(H375="",$D$10="",$N$10=""),"",IF($D$10="COBRE",VLOOKUP(CDV_PROY_BT!H375,FDV!$B$16:$E$24,IF(CDV_PROY_BT!$N$10="3F",3,4),FALSE),IF($D$10="ACS",VLOOKUP(CDV_PROY_BT!H375,FDV!$B$10:$E$15,IF(CDV_PROY_BT!$N$10="3F",3,4),FALSE),IF($D$10="5005 (PREENSAMBLADO)",VLOOKUP(CDV_PROY_BT!H375,FDV!$B$4:$E$9,IF(CDV_PROY_BT!$N$10="3F",3,4),FALSE),VLOOKUP(CDV_PROY_BT!H375,FDV!$B$25:$E$30,IF(CDV_PROY_BT!$N$10="3F",3,4),FALSE)))))</f>
        <v>412</v>
      </c>
      <c r="K375" s="63">
        <f t="shared" si="52"/>
        <v>688</v>
      </c>
      <c r="L375" s="62">
        <f t="shared" si="54"/>
        <v>1.67</v>
      </c>
      <c r="M375" s="62">
        <f t="shared" si="55"/>
        <v>3.84</v>
      </c>
      <c r="N375" s="155">
        <f>+M375</f>
        <v>3.84</v>
      </c>
      <c r="U375" s="138">
        <f t="shared" si="56"/>
        <v>31</v>
      </c>
      <c r="V375" s="138">
        <f t="shared" si="57"/>
        <v>31</v>
      </c>
    </row>
    <row r="376" spans="1:22" hidden="1" x14ac:dyDescent="0.25">
      <c r="A376" s="167"/>
      <c r="B376" s="168"/>
      <c r="C376" s="169"/>
      <c r="D376" s="169"/>
      <c r="E376" s="170"/>
      <c r="F376" s="58" t="str">
        <f>IF($N$357="","",IF($N$357="INDUSTRIAL",IF(OR($D$355="",$D$361=""),"",IF(OR(D376&gt;$D$362,E376&gt;$D$363),"Rev. Total. abona.",IF(D376="",IF(E376="","",E376/(0.92*1000)),IF(OR($D$355="SAN CRISTOBAL",$D$355="FLOREANA"),VLOOKUP(D376,'Estratos SCY - FLO'!$A$4:$M$108,IF($D$361="A1",2,IF($D$361="A",5,IF($D$361="B",8,11))))+E376/(0.92*1000),VLOOKUP(D376,'Estratos SCX - ISA'!$A$3:$M$107,IF($D$361="A1",2,IF($D$361="A",5,IF($D$361="B",8,11))))+E376/(0.92*1000))))),IF(OR($D$355="",$D$361=""),"",IF(OR(D376&gt;$D$362,E376&gt;$D$363),"Rev. Total. abona.",IF(D376="",IF(E376="","",E376/(0.92*1000)),IF(OR($D$355="SAN CRISTOBAL",$D$355="FLOREANA"),VLOOKUP(D376,'Estratos SCY - FLO'!$O$4:$S$108,IF($D$361="A1",2,IF($D$361="A",3,IF($D$361="B",4,5))))+E376/(0.92*1000),VLOOKUP(D376,'Estratos SCX - ISA'!$O$4:$S$108,IF($D$361="A1",2,IF($D$361="A",3,IF($D$361="B",4,5))))+E376/(0.92*1000)))))))</f>
        <v/>
      </c>
      <c r="G376" s="59" t="str">
        <f t="shared" si="53"/>
        <v/>
      </c>
      <c r="H376" s="183"/>
      <c r="I376" s="183"/>
      <c r="J376" s="59" t="str">
        <f>IF(OR(H376="",$D$10="",$N$10=""),"",IF($D$10="COBRE",VLOOKUP(CDV_PROY_BT!H376,FDV!$B$16:$E$24,IF(CDV_PROY_BT!$N$10="3F",3,4),FALSE),IF($D$10="ACS",VLOOKUP(CDV_PROY_BT!H376,FDV!$B$10:$E$15,IF(CDV_PROY_BT!$N$10="3F",3,4),FALSE),IF($D$10="5005 (PREENSAMBLADO)",VLOOKUP(CDV_PROY_BT!H376,FDV!$B$4:$E$9,IF(CDV_PROY_BT!$N$10="3F",3,4),FALSE),VLOOKUP(CDV_PROY_BT!H376,FDV!$B$25:$E$30,IF(CDV_PROY_BT!$N$10="3F",3,4),FALSE)))))</f>
        <v/>
      </c>
      <c r="K376" s="63" t="str">
        <f t="shared" si="52"/>
        <v/>
      </c>
      <c r="L376" s="62" t="str">
        <f t="shared" si="54"/>
        <v/>
      </c>
      <c r="M376" s="62" t="str">
        <f t="shared" si="55"/>
        <v/>
      </c>
      <c r="N376" s="155"/>
      <c r="U376" s="138">
        <f t="shared" si="56"/>
        <v>0</v>
      </c>
      <c r="V376" s="138">
        <f t="shared" si="57"/>
        <v>0</v>
      </c>
    </row>
    <row r="377" spans="1:22" hidden="1" x14ac:dyDescent="0.25">
      <c r="A377" s="167"/>
      <c r="B377" s="168"/>
      <c r="C377" s="169"/>
      <c r="D377" s="169"/>
      <c r="E377" s="170"/>
      <c r="F377" s="58" t="str">
        <f>IF($N$357="","",IF($N$357="INDUSTRIAL",IF(OR($D$355="",$D$361=""),"",IF(OR(D377&gt;$D$362,E377&gt;$D$363),"Rev. Total. abona.",IF(D377="",IF(E377="","",E377/(0.92*1000)),IF(OR($D$355="SAN CRISTOBAL",$D$355="FLOREANA"),VLOOKUP(D377,'Estratos SCY - FLO'!$A$4:$M$108,IF($D$361="A1",2,IF($D$361="A",5,IF($D$361="B",8,11))))+E377/(0.92*1000),VLOOKUP(D377,'Estratos SCX - ISA'!$A$3:$M$107,IF($D$361="A1",2,IF($D$361="A",5,IF($D$361="B",8,11))))+E377/(0.92*1000))))),IF(OR($D$355="",$D$361=""),"",IF(OR(D377&gt;$D$362,E377&gt;$D$363),"Rev. Total. abona.",IF(D377="",IF(E377="","",E377/(0.92*1000)),IF(OR($D$355="SAN CRISTOBAL",$D$355="FLOREANA"),VLOOKUP(D377,'Estratos SCY - FLO'!$O$4:$S$108,IF($D$361="A1",2,IF($D$361="A",3,IF($D$361="B",4,5))))+E377/(0.92*1000),VLOOKUP(D377,'Estratos SCX - ISA'!$O$4:$S$108,IF($D$361="A1",2,IF($D$361="A",3,IF($D$361="B",4,5))))+E377/(0.92*1000)))))))</f>
        <v/>
      </c>
      <c r="G377" s="59" t="str">
        <f t="shared" si="53"/>
        <v/>
      </c>
      <c r="H377" s="183"/>
      <c r="I377" s="183"/>
      <c r="J377" s="59" t="str">
        <f>IF(OR(H377="",$D$10="",$N$10=""),"",IF($D$10="COBRE",VLOOKUP(CDV_PROY_BT!H377,FDV!$B$16:$E$24,IF(CDV_PROY_BT!$N$10="3F",3,4),FALSE),IF($D$10="ACS",VLOOKUP(CDV_PROY_BT!H377,FDV!$B$10:$E$15,IF(CDV_PROY_BT!$N$10="3F",3,4),FALSE),IF($D$10="5005 (PREENSAMBLADO)",VLOOKUP(CDV_PROY_BT!H377,FDV!$B$4:$E$9,IF(CDV_PROY_BT!$N$10="3F",3,4),FALSE),VLOOKUP(CDV_PROY_BT!H377,FDV!$B$25:$E$30,IF(CDV_PROY_BT!$N$10="3F",3,4),FALSE)))))</f>
        <v/>
      </c>
      <c r="K377" s="63" t="str">
        <f t="shared" si="52"/>
        <v/>
      </c>
      <c r="L377" s="62" t="str">
        <f t="shared" si="54"/>
        <v/>
      </c>
      <c r="M377" s="62" t="str">
        <f t="shared" si="55"/>
        <v/>
      </c>
      <c r="N377" s="155"/>
      <c r="U377" s="138">
        <f t="shared" si="56"/>
        <v>0</v>
      </c>
      <c r="V377" s="138">
        <f t="shared" si="57"/>
        <v>0</v>
      </c>
    </row>
    <row r="378" spans="1:22" hidden="1" x14ac:dyDescent="0.25">
      <c r="A378" s="167"/>
      <c r="B378" s="168"/>
      <c r="C378" s="169"/>
      <c r="D378" s="169"/>
      <c r="E378" s="170"/>
      <c r="F378" s="58" t="str">
        <f>IF($N$357="","",IF($N$357="INDUSTRIAL",IF(OR($D$355="",$D$361=""),"",IF(OR(D378&gt;$D$362,E378&gt;$D$363),"Rev. Total. abona.",IF(D378="",IF(E378="","",E378/(0.92*1000)),IF(OR($D$355="SAN CRISTOBAL",$D$355="FLOREANA"),VLOOKUP(D378,'Estratos SCY - FLO'!$A$4:$M$108,IF($D$361="A1",2,IF($D$361="A",5,IF($D$361="B",8,11))))+E378/(0.92*1000),VLOOKUP(D378,'Estratos SCX - ISA'!$A$3:$M$107,IF($D$361="A1",2,IF($D$361="A",5,IF($D$361="B",8,11))))+E378/(0.92*1000))))),IF(OR($D$355="",$D$361=""),"",IF(OR(D378&gt;$D$362,E378&gt;$D$363),"Rev. Total. abona.",IF(D378="",IF(E378="","",E378/(0.92*1000)),IF(OR($D$355="SAN CRISTOBAL",$D$355="FLOREANA"),VLOOKUP(D378,'Estratos SCY - FLO'!$O$4:$S$108,IF($D$361="A1",2,IF($D$361="A",3,IF($D$361="B",4,5))))+E378/(0.92*1000),VLOOKUP(D378,'Estratos SCX - ISA'!$O$4:$S$108,IF($D$361="A1",2,IF($D$361="A",3,IF($D$361="B",4,5))))+E378/(0.92*1000)))))))</f>
        <v/>
      </c>
      <c r="G378" s="59" t="str">
        <f t="shared" si="53"/>
        <v/>
      </c>
      <c r="H378" s="183"/>
      <c r="I378" s="183"/>
      <c r="J378" s="59" t="str">
        <f>IF(OR(H378="",$D$10="",$N$10=""),"",IF($D$10="COBRE",VLOOKUP(CDV_PROY_BT!H378,FDV!$B$16:$E$24,IF(CDV_PROY_BT!$N$10="3F",3,4),FALSE),IF($D$10="ACS",VLOOKUP(CDV_PROY_BT!H378,FDV!$B$10:$E$15,IF(CDV_PROY_BT!$N$10="3F",3,4),FALSE),IF($D$10="5005 (PREENSAMBLADO)",VLOOKUP(CDV_PROY_BT!H378,FDV!$B$4:$E$9,IF(CDV_PROY_BT!$N$10="3F",3,4),FALSE),VLOOKUP(CDV_PROY_BT!H378,FDV!$B$25:$E$30,IF(CDV_PROY_BT!$N$10="3F",3,4),FALSE)))))</f>
        <v/>
      </c>
      <c r="K378" s="63" t="str">
        <f t="shared" si="52"/>
        <v/>
      </c>
      <c r="L378" s="62" t="str">
        <f t="shared" si="54"/>
        <v/>
      </c>
      <c r="M378" s="62" t="str">
        <f t="shared" si="55"/>
        <v/>
      </c>
      <c r="N378" s="155"/>
      <c r="U378" s="138">
        <f t="shared" si="56"/>
        <v>0</v>
      </c>
      <c r="V378" s="138">
        <f t="shared" si="57"/>
        <v>0</v>
      </c>
    </row>
    <row r="379" spans="1:22" hidden="1" x14ac:dyDescent="0.25">
      <c r="A379" s="167"/>
      <c r="B379" s="168"/>
      <c r="C379" s="169"/>
      <c r="D379" s="169"/>
      <c r="E379" s="170"/>
      <c r="F379" s="58" t="str">
        <f>IF($N$357="","",IF($N$357="INDUSTRIAL",IF(OR($D$355="",$D$361=""),"",IF(OR(D379&gt;$D$362,E379&gt;$D$363),"Rev. Total. abona.",IF(D379="",IF(E379="","",E379/(0.92*1000)),IF(OR($D$355="SAN CRISTOBAL",$D$355="FLOREANA"),VLOOKUP(D379,'Estratos SCY - FLO'!$A$4:$M$108,IF($D$361="A1",2,IF($D$361="A",5,IF($D$361="B",8,11))))+E379/(0.92*1000),VLOOKUP(D379,'Estratos SCX - ISA'!$A$3:$M$107,IF($D$361="A1",2,IF($D$361="A",5,IF($D$361="B",8,11))))+E379/(0.92*1000))))),IF(OR($D$355="",$D$361=""),"",IF(OR(D379&gt;$D$362,E379&gt;$D$363),"Rev. Total. abona.",IF(D379="",IF(E379="","",E379/(0.92*1000)),IF(OR($D$355="SAN CRISTOBAL",$D$355="FLOREANA"),VLOOKUP(D379,'Estratos SCY - FLO'!$O$4:$S$108,IF($D$361="A1",2,IF($D$361="A",3,IF($D$361="B",4,5))))+E379/(0.92*1000),VLOOKUP(D379,'Estratos SCX - ISA'!$O$4:$S$108,IF($D$361="A1",2,IF($D$361="A",3,IF($D$361="B",4,5))))+E379/(0.92*1000)))))))</f>
        <v/>
      </c>
      <c r="G379" s="59" t="str">
        <f t="shared" si="53"/>
        <v/>
      </c>
      <c r="H379" s="183"/>
      <c r="I379" s="183"/>
      <c r="J379" s="59" t="str">
        <f>IF(OR(H379="",$D$10="",$N$10=""),"",IF($D$10="COBRE",VLOOKUP(CDV_PROY_BT!H379,FDV!$B$16:$E$24,IF(CDV_PROY_BT!$N$10="3F",3,4),FALSE),IF($D$10="ACS",VLOOKUP(CDV_PROY_BT!H379,FDV!$B$10:$E$15,IF(CDV_PROY_BT!$N$10="3F",3,4),FALSE),IF($D$10="5005 (PREENSAMBLADO)",VLOOKUP(CDV_PROY_BT!H379,FDV!$B$4:$E$9,IF(CDV_PROY_BT!$N$10="3F",3,4),FALSE),VLOOKUP(CDV_PROY_BT!H379,FDV!$B$25:$E$30,IF(CDV_PROY_BT!$N$10="3F",3,4),FALSE)))))</f>
        <v/>
      </c>
      <c r="K379" s="63" t="str">
        <f t="shared" si="52"/>
        <v/>
      </c>
      <c r="L379" s="62" t="str">
        <f t="shared" si="54"/>
        <v/>
      </c>
      <c r="M379" s="62" t="str">
        <f t="shared" si="55"/>
        <v/>
      </c>
      <c r="N379" s="155"/>
      <c r="U379" s="138">
        <f t="shared" si="56"/>
        <v>0</v>
      </c>
      <c r="V379" s="138">
        <f t="shared" si="57"/>
        <v>0</v>
      </c>
    </row>
    <row r="380" spans="1:22" hidden="1" x14ac:dyDescent="0.25">
      <c r="A380" s="171"/>
      <c r="B380" s="172"/>
      <c r="C380" s="173"/>
      <c r="D380" s="173"/>
      <c r="E380" s="170"/>
      <c r="F380" s="58" t="str">
        <f>IF($N$357="","",IF($N$357="INDUSTRIAL",IF(OR($D$355="",$D$361=""),"",IF(OR(D380&gt;$D$362,E380&gt;$D$363),"Rev. Total. abona.",IF(D380="",IF(E380="","",E380/(0.92*1000)),IF(OR($D$355="SAN CRISTOBAL",$D$355="FLOREANA"),VLOOKUP(D380,'Estratos SCY - FLO'!$A$4:$M$108,IF($D$361="A1",2,IF($D$361="A",5,IF($D$361="B",8,11))))+E380/(0.92*1000),VLOOKUP(D380,'Estratos SCX - ISA'!$A$3:$M$107,IF($D$361="A1",2,IF($D$361="A",5,IF($D$361="B",8,11))))+E380/(0.92*1000))))),IF(OR($D$355="",$D$361=""),"",IF(OR(D380&gt;$D$362,E380&gt;$D$363),"Rev. Total. abona.",IF(D380="",IF(E380="","",E380/(0.92*1000)),IF(OR($D$355="SAN CRISTOBAL",$D$355="FLOREANA"),VLOOKUP(D380,'Estratos SCY - FLO'!$O$4:$S$108,IF($D$361="A1",2,IF($D$361="A",3,IF($D$361="B",4,5))))+E380/(0.92*1000),VLOOKUP(D380,'Estratos SCX - ISA'!$O$4:$S$108,IF($D$361="A1",2,IF($D$361="A",3,IF($D$361="B",4,5))))+E380/(0.92*1000)))))))</f>
        <v/>
      </c>
      <c r="G380" s="59" t="str">
        <f t="shared" si="53"/>
        <v/>
      </c>
      <c r="H380" s="183"/>
      <c r="I380" s="183"/>
      <c r="J380" s="59" t="str">
        <f>IF(OR(H380="",$D$10="",$N$10=""),"",IF($D$10="COBRE",VLOOKUP(CDV_PROY_BT!H380,FDV!$B$16:$E$24,IF(CDV_PROY_BT!$N$10="3F",3,4),FALSE),IF($D$10="ACS",VLOOKUP(CDV_PROY_BT!H380,FDV!$B$10:$E$15,IF(CDV_PROY_BT!$N$10="3F",3,4),FALSE),IF($D$10="5005 (PREENSAMBLADO)",VLOOKUP(CDV_PROY_BT!H380,FDV!$B$4:$E$9,IF(CDV_PROY_BT!$N$10="3F",3,4),FALSE),VLOOKUP(CDV_PROY_BT!H380,FDV!$B$25:$E$30,IF(CDV_PROY_BT!$N$10="3F",3,4),FALSE)))))</f>
        <v/>
      </c>
      <c r="K380" s="63" t="str">
        <f t="shared" si="52"/>
        <v/>
      </c>
      <c r="L380" s="62" t="str">
        <f t="shared" si="54"/>
        <v/>
      </c>
      <c r="M380" s="62" t="str">
        <f t="shared" si="55"/>
        <v/>
      </c>
      <c r="N380" s="155"/>
      <c r="U380" s="138">
        <f t="shared" si="56"/>
        <v>0</v>
      </c>
      <c r="V380" s="138">
        <f t="shared" si="57"/>
        <v>0</v>
      </c>
    </row>
    <row r="381" spans="1:22" hidden="1" x14ac:dyDescent="0.25">
      <c r="A381" s="167"/>
      <c r="B381" s="168"/>
      <c r="C381" s="169"/>
      <c r="D381" s="169"/>
      <c r="E381" s="174"/>
      <c r="F381" s="58" t="str">
        <f>IF($N$357="","",IF($N$357="INDUSTRIAL",IF(OR($D$355="",$D$361=""),"",IF(OR(D381&gt;$D$362,E381&gt;$D$363),"Rev. Total. abona.",IF(D381="",IF(E381="","",E381/(0.92*1000)),IF(OR($D$355="SAN CRISTOBAL",$D$355="FLOREANA"),VLOOKUP(D381,'Estratos SCY - FLO'!$A$4:$M$108,IF($D$361="A1",2,IF($D$361="A",5,IF($D$361="B",8,11))))+E381/(0.92*1000),VLOOKUP(D381,'Estratos SCX - ISA'!$A$3:$M$107,IF($D$361="A1",2,IF($D$361="A",5,IF($D$361="B",8,11))))+E381/(0.92*1000))))),IF(OR($D$355="",$D$361=""),"",IF(OR(D381&gt;$D$362,E381&gt;$D$363),"Rev. Total. abona.",IF(D381="",IF(E381="","",E381/(0.92*1000)),IF(OR($D$355="SAN CRISTOBAL",$D$355="FLOREANA"),VLOOKUP(D381,'Estratos SCY - FLO'!$O$4:$S$108,IF($D$361="A1",2,IF($D$361="A",3,IF($D$361="B",4,5))))+E381/(0.92*1000),VLOOKUP(D381,'Estratos SCX - ISA'!$O$4:$S$108,IF($D$361="A1",2,IF($D$361="A",3,IF($D$361="B",4,5))))+E381/(0.92*1000)))))))</f>
        <v/>
      </c>
      <c r="G381" s="59" t="str">
        <f t="shared" si="53"/>
        <v/>
      </c>
      <c r="H381" s="183"/>
      <c r="I381" s="183"/>
      <c r="J381" s="59" t="str">
        <f>IF(OR(H381="",$D$10="",$N$10=""),"",IF($D$10="COBRE",VLOOKUP(CDV_PROY_BT!H381,FDV!$B$16:$E$24,IF(CDV_PROY_BT!$N$10="3F",3,4),FALSE),IF($D$10="ACS",VLOOKUP(CDV_PROY_BT!H381,FDV!$B$10:$E$15,IF(CDV_PROY_BT!$N$10="3F",3,4),FALSE),IF($D$10="5005 (PREENSAMBLADO)",VLOOKUP(CDV_PROY_BT!H381,FDV!$B$4:$E$9,IF(CDV_PROY_BT!$N$10="3F",3,4),FALSE),VLOOKUP(CDV_PROY_BT!H381,FDV!$B$25:$E$30,IF(CDV_PROY_BT!$N$10="3F",3,4),FALSE)))))</f>
        <v/>
      </c>
      <c r="K381" s="63" t="str">
        <f t="shared" si="52"/>
        <v/>
      </c>
      <c r="L381" s="62" t="str">
        <f t="shared" si="54"/>
        <v/>
      </c>
      <c r="M381" s="62" t="str">
        <f t="shared" si="55"/>
        <v/>
      </c>
      <c r="N381" s="155"/>
      <c r="U381" s="138">
        <f t="shared" si="56"/>
        <v>0</v>
      </c>
      <c r="V381" s="138">
        <f t="shared" si="57"/>
        <v>0</v>
      </c>
    </row>
    <row r="382" spans="1:22" hidden="1" x14ac:dyDescent="0.25">
      <c r="A382" s="175"/>
      <c r="B382" s="176"/>
      <c r="C382" s="177"/>
      <c r="D382" s="177"/>
      <c r="E382" s="170"/>
      <c r="F382" s="58" t="str">
        <f>IF($N$357="","",IF($N$357="INDUSTRIAL",IF(OR($D$355="",$D$361=""),"",IF(OR(D382&gt;$D$362,E382&gt;$D$363),"Rev. Total. abona.",IF(D382="",IF(E382="","",E382/(0.92*1000)),IF(OR($D$355="SAN CRISTOBAL",$D$355="FLOREANA"),VLOOKUP(D382,'Estratos SCY - FLO'!$A$4:$M$108,IF($D$361="A1",2,IF($D$361="A",5,IF($D$361="B",8,11))))+E382/(0.92*1000),VLOOKUP(D382,'Estratos SCX - ISA'!$A$3:$M$107,IF($D$361="A1",2,IF($D$361="A",5,IF($D$361="B",8,11))))+E382/(0.92*1000))))),IF(OR($D$355="",$D$361=""),"",IF(OR(D382&gt;$D$362,E382&gt;$D$363),"Rev. Total. abona.",IF(D382="",IF(E382="","",E382/(0.92*1000)),IF(OR($D$355="SAN CRISTOBAL",$D$355="FLOREANA"),VLOOKUP(D382,'Estratos SCY - FLO'!$O$4:$S$108,IF($D$361="A1",2,IF($D$361="A",3,IF($D$361="B",4,5))))+E382/(0.92*1000),VLOOKUP(D382,'Estratos SCX - ISA'!$O$4:$S$108,IF($D$361="A1",2,IF($D$361="A",3,IF($D$361="B",4,5))))+E382/(0.92*1000)))))))</f>
        <v/>
      </c>
      <c r="G382" s="59" t="str">
        <f t="shared" si="53"/>
        <v/>
      </c>
      <c r="H382" s="183"/>
      <c r="I382" s="183"/>
      <c r="J382" s="59" t="str">
        <f>IF(OR(H382="",$D$10="",$N$10=""),"",IF($D$10="COBRE",VLOOKUP(CDV_PROY_BT!H382,FDV!$B$16:$E$24,IF(CDV_PROY_BT!$N$10="3F",3,4),FALSE),IF($D$10="ACS",VLOOKUP(CDV_PROY_BT!H382,FDV!$B$10:$E$15,IF(CDV_PROY_BT!$N$10="3F",3,4),FALSE),IF($D$10="5005 (PREENSAMBLADO)",VLOOKUP(CDV_PROY_BT!H382,FDV!$B$4:$E$9,IF(CDV_PROY_BT!$N$10="3F",3,4),FALSE),VLOOKUP(CDV_PROY_BT!H382,FDV!$B$25:$E$30,IF(CDV_PROY_BT!$N$10="3F",3,4),FALSE)))))</f>
        <v/>
      </c>
      <c r="K382" s="63" t="str">
        <f t="shared" si="52"/>
        <v/>
      </c>
      <c r="L382" s="62" t="str">
        <f t="shared" si="54"/>
        <v/>
      </c>
      <c r="M382" s="62" t="str">
        <f t="shared" si="55"/>
        <v/>
      </c>
      <c r="N382" s="155"/>
      <c r="U382" s="138">
        <f t="shared" si="56"/>
        <v>0</v>
      </c>
      <c r="V382" s="138">
        <f t="shared" si="57"/>
        <v>0</v>
      </c>
    </row>
    <row r="383" spans="1:22" hidden="1" x14ac:dyDescent="0.25">
      <c r="A383" s="167"/>
      <c r="B383" s="168"/>
      <c r="C383" s="169"/>
      <c r="D383" s="169"/>
      <c r="E383" s="170"/>
      <c r="F383" s="58" t="str">
        <f>IF($N$357="","",IF($N$357="INDUSTRIAL",IF(OR($D$355="",$D$361=""),"",IF(OR(D383&gt;$D$362,E383&gt;$D$363),"Rev. Total. abona.",IF(D383="",IF(E383="","",E383/(0.92*1000)),IF(OR($D$355="SAN CRISTOBAL",$D$355="FLOREANA"),VLOOKUP(D383,'Estratos SCY - FLO'!$A$4:$M$108,IF($D$361="A1",2,IF($D$361="A",5,IF($D$361="B",8,11))))+E383/(0.92*1000),VLOOKUP(D383,'Estratos SCX - ISA'!$A$3:$M$107,IF($D$361="A1",2,IF($D$361="A",5,IF($D$361="B",8,11))))+E383/(0.92*1000))))),IF(OR($D$355="",$D$361=""),"",IF(OR(D383&gt;$D$362,E383&gt;$D$363),"Rev. Total. abona.",IF(D383="",IF(E383="","",E383/(0.92*1000)),IF(OR($D$355="SAN CRISTOBAL",$D$355="FLOREANA"),VLOOKUP(D383,'Estratos SCY - FLO'!$O$4:$S$108,IF($D$361="A1",2,IF($D$361="A",3,IF($D$361="B",4,5))))+E383/(0.92*1000),VLOOKUP(D383,'Estratos SCX - ISA'!$O$4:$S$108,IF($D$361="A1",2,IF($D$361="A",3,IF($D$361="B",4,5))))+E383/(0.92*1000)))))))</f>
        <v/>
      </c>
      <c r="G383" s="59" t="str">
        <f t="shared" si="53"/>
        <v/>
      </c>
      <c r="H383" s="183"/>
      <c r="I383" s="183"/>
      <c r="J383" s="59" t="str">
        <f>IF(OR(H383="",$D$10="",$N$10=""),"",IF($D$10="COBRE",VLOOKUP(CDV_PROY_BT!H383,FDV!$B$16:$E$24,IF(CDV_PROY_BT!$N$10="3F",3,4),FALSE),IF($D$10="ACS",VLOOKUP(CDV_PROY_BT!H383,FDV!$B$10:$E$15,IF(CDV_PROY_BT!$N$10="3F",3,4),FALSE),IF($D$10="5005 (PREENSAMBLADO)",VLOOKUP(CDV_PROY_BT!H383,FDV!$B$4:$E$9,IF(CDV_PROY_BT!$N$10="3F",3,4),FALSE),VLOOKUP(CDV_PROY_BT!H383,FDV!$B$25:$E$30,IF(CDV_PROY_BT!$N$10="3F",3,4),FALSE)))))</f>
        <v/>
      </c>
      <c r="K383" s="63" t="str">
        <f t="shared" si="52"/>
        <v/>
      </c>
      <c r="L383" s="62" t="str">
        <f t="shared" si="54"/>
        <v/>
      </c>
      <c r="M383" s="62" t="str">
        <f t="shared" si="55"/>
        <v/>
      </c>
      <c r="N383" s="155"/>
      <c r="U383" s="138">
        <f t="shared" si="56"/>
        <v>0</v>
      </c>
      <c r="V383" s="138">
        <f t="shared" si="57"/>
        <v>0</v>
      </c>
    </row>
    <row r="384" spans="1:22" hidden="1" x14ac:dyDescent="0.25">
      <c r="A384" s="167"/>
      <c r="B384" s="168"/>
      <c r="C384" s="169"/>
      <c r="D384" s="169"/>
      <c r="E384" s="170"/>
      <c r="F384" s="58" t="str">
        <f>IF($N$357="","",IF($N$357="INDUSTRIAL",IF(OR($D$355="",$D$361=""),"",IF(OR(D384&gt;$D$362,E384&gt;$D$363),"Rev. Total. abona.",IF(D384="",IF(E384="","",E384/(0.92*1000)),IF(OR($D$355="SAN CRISTOBAL",$D$355="FLOREANA"),VLOOKUP(D384,'Estratos SCY - FLO'!$A$4:$M$108,IF($D$361="A1",2,IF($D$361="A",5,IF($D$361="B",8,11))))+E384/(0.92*1000),VLOOKUP(D384,'Estratos SCX - ISA'!$A$3:$M$107,IF($D$361="A1",2,IF($D$361="A",5,IF($D$361="B",8,11))))+E384/(0.92*1000))))),IF(OR($D$355="",$D$361=""),"",IF(OR(D384&gt;$D$362,E384&gt;$D$363),"Rev. Total. abona.",IF(D384="",IF(E384="","",E384/(0.92*1000)),IF(OR($D$355="SAN CRISTOBAL",$D$355="FLOREANA"),VLOOKUP(D384,'Estratos SCY - FLO'!$O$4:$S$108,IF($D$361="A1",2,IF($D$361="A",3,IF($D$361="B",4,5))))+E384/(0.92*1000),VLOOKUP(D384,'Estratos SCX - ISA'!$O$4:$S$108,IF($D$361="A1",2,IF($D$361="A",3,IF($D$361="B",4,5))))+E384/(0.92*1000)))))))</f>
        <v/>
      </c>
      <c r="G384" s="59" t="str">
        <f t="shared" si="53"/>
        <v/>
      </c>
      <c r="H384" s="183"/>
      <c r="I384" s="183"/>
      <c r="J384" s="59" t="str">
        <f>IF(OR(H384="",$D$10="",$N$10=""),"",IF($D$10="COBRE",VLOOKUP(CDV_PROY_BT!H384,FDV!$B$16:$E$24,IF(CDV_PROY_BT!$N$10="3F",3,4),FALSE),IF($D$10="ACS",VLOOKUP(CDV_PROY_BT!H384,FDV!$B$10:$E$15,IF(CDV_PROY_BT!$N$10="3F",3,4),FALSE),IF($D$10="5005 (PREENSAMBLADO)",VLOOKUP(CDV_PROY_BT!H384,FDV!$B$4:$E$9,IF(CDV_PROY_BT!$N$10="3F",3,4),FALSE),VLOOKUP(CDV_PROY_BT!H384,FDV!$B$25:$E$30,IF(CDV_PROY_BT!$N$10="3F",3,4),FALSE)))))</f>
        <v/>
      </c>
      <c r="K384" s="63" t="str">
        <f t="shared" si="52"/>
        <v/>
      </c>
      <c r="L384" s="62" t="str">
        <f t="shared" si="54"/>
        <v/>
      </c>
      <c r="M384" s="62" t="str">
        <f t="shared" si="55"/>
        <v/>
      </c>
      <c r="N384" s="155"/>
      <c r="U384" s="138">
        <f t="shared" si="56"/>
        <v>0</v>
      </c>
      <c r="V384" s="138">
        <f t="shared" si="57"/>
        <v>0</v>
      </c>
    </row>
    <row r="385" spans="1:22" hidden="1" x14ac:dyDescent="0.25">
      <c r="A385" s="167"/>
      <c r="B385" s="168"/>
      <c r="C385" s="169"/>
      <c r="D385" s="169"/>
      <c r="E385" s="170"/>
      <c r="F385" s="58" t="str">
        <f>IF($N$357="","",IF($N$357="INDUSTRIAL",IF(OR($D$355="",$D$361=""),"",IF(OR(D385&gt;$D$362,E385&gt;$D$363),"Rev. Total. abona.",IF(D385="",IF(E385="","",E385/(0.92*1000)),IF(OR($D$355="SAN CRISTOBAL",$D$355="FLOREANA"),VLOOKUP(D385,'Estratos SCY - FLO'!$A$4:$M$108,IF($D$361="A1",2,IF($D$361="A",5,IF($D$361="B",8,11))))+E385/(0.92*1000),VLOOKUP(D385,'Estratos SCX - ISA'!$A$3:$M$107,IF($D$361="A1",2,IF($D$361="A",5,IF($D$361="B",8,11))))+E385/(0.92*1000))))),IF(OR($D$355="",$D$361=""),"",IF(OR(D385&gt;$D$362,E385&gt;$D$363),"Rev. Total. abona.",IF(D385="",IF(E385="","",E385/(0.92*1000)),IF(OR($D$355="SAN CRISTOBAL",$D$355="FLOREANA"),VLOOKUP(D385,'Estratos SCY - FLO'!$O$4:$S$108,IF($D$361="A1",2,IF($D$361="A",3,IF($D$361="B",4,5))))+E385/(0.92*1000),VLOOKUP(D385,'Estratos SCX - ISA'!$O$4:$S$108,IF($D$361="A1",2,IF($D$361="A",3,IF($D$361="B",4,5))))+E385/(0.92*1000)))))))</f>
        <v/>
      </c>
      <c r="G385" s="59" t="str">
        <f t="shared" si="53"/>
        <v/>
      </c>
      <c r="H385" s="183"/>
      <c r="I385" s="183"/>
      <c r="J385" s="59" t="str">
        <f>IF(OR(H385="",$D$10="",$N$10=""),"",IF($D$10="COBRE",VLOOKUP(CDV_PROY_BT!H385,FDV!$B$16:$E$24,IF(CDV_PROY_BT!$N$10="3F",3,4),FALSE),IF($D$10="ACS",VLOOKUP(CDV_PROY_BT!H385,FDV!$B$10:$E$15,IF(CDV_PROY_BT!$N$10="3F",3,4),FALSE),IF($D$10="5005 (PREENSAMBLADO)",VLOOKUP(CDV_PROY_BT!H385,FDV!$B$4:$E$9,IF(CDV_PROY_BT!$N$10="3F",3,4),FALSE),VLOOKUP(CDV_PROY_BT!H385,FDV!$B$25:$E$30,IF(CDV_PROY_BT!$N$10="3F",3,4),FALSE)))))</f>
        <v/>
      </c>
      <c r="K385" s="63" t="str">
        <f t="shared" si="52"/>
        <v/>
      </c>
      <c r="L385" s="62" t="str">
        <f t="shared" si="54"/>
        <v/>
      </c>
      <c r="M385" s="62" t="str">
        <f t="shared" si="55"/>
        <v/>
      </c>
      <c r="N385" s="155"/>
      <c r="U385" s="138">
        <f t="shared" si="56"/>
        <v>0</v>
      </c>
      <c r="V385" s="138">
        <f t="shared" si="57"/>
        <v>0</v>
      </c>
    </row>
    <row r="386" spans="1:22" hidden="1" x14ac:dyDescent="0.25">
      <c r="A386" s="167"/>
      <c r="B386" s="168"/>
      <c r="C386" s="169"/>
      <c r="D386" s="169"/>
      <c r="E386" s="170"/>
      <c r="F386" s="58" t="str">
        <f>IF($N$357="","",IF($N$357="INDUSTRIAL",IF(OR($D$355="",$D$361=""),"",IF(OR(D386&gt;$D$362,E386&gt;$D$363),"Rev. Total. abona.",IF(D386="",IF(E386="","",E386/(0.92*1000)),IF(OR($D$355="SAN CRISTOBAL",$D$355="FLOREANA"),VLOOKUP(D386,'Estratos SCY - FLO'!$A$4:$M$108,IF($D$361="A1",2,IF($D$361="A",5,IF($D$361="B",8,11))))+E386/(0.92*1000),VLOOKUP(D386,'Estratos SCX - ISA'!$A$3:$M$107,IF($D$361="A1",2,IF($D$361="A",5,IF($D$361="B",8,11))))+E386/(0.92*1000))))),IF(OR($D$355="",$D$361=""),"",IF(OR(D386&gt;$D$362,E386&gt;$D$363),"Rev. Total. abona.",IF(D386="",IF(E386="","",E386/(0.92*1000)),IF(OR($D$355="SAN CRISTOBAL",$D$355="FLOREANA"),VLOOKUP(D386,'Estratos SCY - FLO'!$O$4:$S$108,IF($D$361="A1",2,IF($D$361="A",3,IF($D$361="B",4,5))))+E386/(0.92*1000),VLOOKUP(D386,'Estratos SCX - ISA'!$O$4:$S$108,IF($D$361="A1",2,IF($D$361="A",3,IF($D$361="B",4,5))))+E386/(0.92*1000)))))))</f>
        <v/>
      </c>
      <c r="G386" s="59" t="str">
        <f t="shared" si="53"/>
        <v/>
      </c>
      <c r="H386" s="183"/>
      <c r="I386" s="183"/>
      <c r="J386" s="59" t="str">
        <f>IF(OR(H386="",$D$10="",$N$10=""),"",IF($D$10="COBRE",VLOOKUP(CDV_PROY_BT!H386,FDV!$B$16:$E$24,IF(CDV_PROY_BT!$N$10="3F",3,4),FALSE),IF($D$10="ACS",VLOOKUP(CDV_PROY_BT!H386,FDV!$B$10:$E$15,IF(CDV_PROY_BT!$N$10="3F",3,4),FALSE),IF($D$10="5005 (PREENSAMBLADO)",VLOOKUP(CDV_PROY_BT!H386,FDV!$B$4:$E$9,IF(CDV_PROY_BT!$N$10="3F",3,4),FALSE),VLOOKUP(CDV_PROY_BT!H386,FDV!$B$25:$E$30,IF(CDV_PROY_BT!$N$10="3F",3,4),FALSE)))))</f>
        <v/>
      </c>
      <c r="K386" s="63" t="str">
        <f t="shared" si="52"/>
        <v/>
      </c>
      <c r="L386" s="62" t="str">
        <f t="shared" si="54"/>
        <v/>
      </c>
      <c r="M386" s="62" t="str">
        <f t="shared" si="55"/>
        <v/>
      </c>
      <c r="N386" s="155"/>
      <c r="U386" s="138">
        <f t="shared" si="56"/>
        <v>0</v>
      </c>
      <c r="V386" s="138">
        <f t="shared" si="57"/>
        <v>0</v>
      </c>
    </row>
    <row r="387" spans="1:22" hidden="1" x14ac:dyDescent="0.25">
      <c r="A387" s="167"/>
      <c r="B387" s="168"/>
      <c r="C387" s="169"/>
      <c r="D387" s="169"/>
      <c r="E387" s="170"/>
      <c r="F387" s="58" t="str">
        <f>IF($N$357="","",IF($N$357="INDUSTRIAL",IF(OR($D$355="",$D$361=""),"",IF(OR(D387&gt;$D$362,E387&gt;$D$363),"Rev. Total. abona.",IF(D387="",IF(E387="","",E387/(0.92*1000)),IF(OR($D$355="SAN CRISTOBAL",$D$355="FLOREANA"),VLOOKUP(D387,'Estratos SCY - FLO'!$A$4:$M$108,IF($D$361="A1",2,IF($D$361="A",5,IF($D$361="B",8,11))))+E387/(0.92*1000),VLOOKUP(D387,'Estratos SCX - ISA'!$A$3:$M$107,IF($D$361="A1",2,IF($D$361="A",5,IF($D$361="B",8,11))))+E387/(0.92*1000))))),IF(OR($D$355="",$D$361=""),"",IF(OR(D387&gt;$D$362,E387&gt;$D$363),"Rev. Total. abona.",IF(D387="",IF(E387="","",E387/(0.92*1000)),IF(OR($D$355="SAN CRISTOBAL",$D$355="FLOREANA"),VLOOKUP(D387,'Estratos SCY - FLO'!$O$4:$S$108,IF($D$361="A1",2,IF($D$361="A",3,IF($D$361="B",4,5))))+E387/(0.92*1000),VLOOKUP(D387,'Estratos SCX - ISA'!$O$4:$S$108,IF($D$361="A1",2,IF($D$361="A",3,IF($D$361="B",4,5))))+E387/(0.92*1000)))))))</f>
        <v/>
      </c>
      <c r="G387" s="59" t="str">
        <f t="shared" si="53"/>
        <v/>
      </c>
      <c r="H387" s="183"/>
      <c r="I387" s="183"/>
      <c r="J387" s="59" t="str">
        <f>IF(OR(H387="",$D$10="",$N$10=""),"",IF($D$10="COBRE",VLOOKUP(CDV_PROY_BT!H387,FDV!$B$16:$E$24,IF(CDV_PROY_BT!$N$10="3F",3,4),FALSE),IF($D$10="ACS",VLOOKUP(CDV_PROY_BT!H387,FDV!$B$10:$E$15,IF(CDV_PROY_BT!$N$10="3F",3,4),FALSE),IF($D$10="5005 (PREENSAMBLADO)",VLOOKUP(CDV_PROY_BT!H387,FDV!$B$4:$E$9,IF(CDV_PROY_BT!$N$10="3F",3,4),FALSE),VLOOKUP(CDV_PROY_BT!H387,FDV!$B$25:$E$30,IF(CDV_PROY_BT!$N$10="3F",3,4),FALSE)))))</f>
        <v/>
      </c>
      <c r="K387" s="63" t="str">
        <f t="shared" si="52"/>
        <v/>
      </c>
      <c r="L387" s="62" t="str">
        <f t="shared" si="54"/>
        <v/>
      </c>
      <c r="M387" s="62" t="str">
        <f t="shared" si="55"/>
        <v/>
      </c>
      <c r="N387" s="155"/>
      <c r="U387" s="138">
        <f t="shared" si="56"/>
        <v>0</v>
      </c>
      <c r="V387" s="138">
        <f t="shared" si="57"/>
        <v>0</v>
      </c>
    </row>
    <row r="388" spans="1:22" hidden="1" x14ac:dyDescent="0.25">
      <c r="A388" s="167"/>
      <c r="B388" s="168"/>
      <c r="C388" s="169"/>
      <c r="D388" s="169"/>
      <c r="E388" s="170"/>
      <c r="F388" s="58" t="str">
        <f>IF($N$357="","",IF($N$357="INDUSTRIAL",IF(OR($D$355="",$D$361=""),"",IF(OR(D388&gt;$D$362,E388&gt;$D$363),"Rev. Total. abona.",IF(D388="",IF(E388="","",E388/(0.92*1000)),IF(OR($D$355="SAN CRISTOBAL",$D$355="FLOREANA"),VLOOKUP(D388,'Estratos SCY - FLO'!$A$4:$M$108,IF($D$361="A1",2,IF($D$361="A",5,IF($D$361="B",8,11))))+E388/(0.92*1000),VLOOKUP(D388,'Estratos SCX - ISA'!$A$3:$M$107,IF($D$361="A1",2,IF($D$361="A",5,IF($D$361="B",8,11))))+E388/(0.92*1000))))),IF(OR($D$355="",$D$361=""),"",IF(OR(D388&gt;$D$362,E388&gt;$D$363),"Rev. Total. abona.",IF(D388="",IF(E388="","",E388/(0.92*1000)),IF(OR($D$355="SAN CRISTOBAL",$D$355="FLOREANA"),VLOOKUP(D388,'Estratos SCY - FLO'!$O$4:$S$108,IF($D$361="A1",2,IF($D$361="A",3,IF($D$361="B",4,5))))+E388/(0.92*1000),VLOOKUP(D388,'Estratos SCX - ISA'!$O$4:$S$108,IF($D$361="A1",2,IF($D$361="A",3,IF($D$361="B",4,5))))+E388/(0.92*1000)))))))</f>
        <v/>
      </c>
      <c r="G388" s="59" t="str">
        <f t="shared" si="53"/>
        <v/>
      </c>
      <c r="H388" s="183"/>
      <c r="I388" s="183"/>
      <c r="J388" s="59" t="str">
        <f>IF(OR(H388="",$D$10="",$N$10=""),"",IF($D$10="COBRE",VLOOKUP(CDV_PROY_BT!H388,FDV!$B$16:$E$24,IF(CDV_PROY_BT!$N$10="3F",3,4),FALSE),IF($D$10="ACS",VLOOKUP(CDV_PROY_BT!H388,FDV!$B$10:$E$15,IF(CDV_PROY_BT!$N$10="3F",3,4),FALSE),IF($D$10="5005 (PREENSAMBLADO)",VLOOKUP(CDV_PROY_BT!H388,FDV!$B$4:$E$9,IF(CDV_PROY_BT!$N$10="3F",3,4),FALSE),VLOOKUP(CDV_PROY_BT!H388,FDV!$B$25:$E$30,IF(CDV_PROY_BT!$N$10="3F",3,4),FALSE)))))</f>
        <v/>
      </c>
      <c r="K388" s="63" t="str">
        <f t="shared" si="52"/>
        <v/>
      </c>
      <c r="L388" s="62" t="str">
        <f t="shared" si="54"/>
        <v/>
      </c>
      <c r="M388" s="62" t="str">
        <f t="shared" si="55"/>
        <v/>
      </c>
      <c r="N388" s="155"/>
      <c r="U388" s="138">
        <f t="shared" si="56"/>
        <v>0</v>
      </c>
      <c r="V388" s="138">
        <f t="shared" si="57"/>
        <v>0</v>
      </c>
    </row>
    <row r="389" spans="1:22" hidden="1" x14ac:dyDescent="0.25">
      <c r="A389" s="167"/>
      <c r="B389" s="168"/>
      <c r="C389" s="169"/>
      <c r="D389" s="169"/>
      <c r="E389" s="170"/>
      <c r="F389" s="58" t="str">
        <f>IF($N$357="","",IF($N$357="INDUSTRIAL",IF(OR($D$355="",$D$361=""),"",IF(OR(D389&gt;$D$362,E389&gt;$D$363),"Rev. Total. abona.",IF(D389="",IF(E389="","",E389/(0.92*1000)),IF(OR($D$355="SAN CRISTOBAL",$D$355="FLOREANA"),VLOOKUP(D389,'Estratos SCY - FLO'!$A$4:$M$108,IF($D$361="A1",2,IF($D$361="A",5,IF($D$361="B",8,11))))+E389/(0.92*1000),VLOOKUP(D389,'Estratos SCX - ISA'!$A$3:$M$107,IF($D$361="A1",2,IF($D$361="A",5,IF($D$361="B",8,11))))+E389/(0.92*1000))))),IF(OR($D$355="",$D$361=""),"",IF(OR(D389&gt;$D$362,E389&gt;$D$363),"Rev. Total. abona.",IF(D389="",IF(E389="","",E389/(0.92*1000)),IF(OR($D$355="SAN CRISTOBAL",$D$355="FLOREANA"),VLOOKUP(D389,'Estratos SCY - FLO'!$O$4:$S$108,IF($D$361="A1",2,IF($D$361="A",3,IF($D$361="B",4,5))))+E389/(0.92*1000),VLOOKUP(D389,'Estratos SCX - ISA'!$O$4:$S$108,IF($D$361="A1",2,IF($D$361="A",3,IF($D$361="B",4,5))))+E389/(0.92*1000)))))))</f>
        <v/>
      </c>
      <c r="G389" s="59" t="str">
        <f t="shared" si="53"/>
        <v/>
      </c>
      <c r="H389" s="183"/>
      <c r="I389" s="183"/>
      <c r="J389" s="59" t="str">
        <f>IF(OR(H389="",$D$10="",$N$10=""),"",IF($D$10="COBRE",VLOOKUP(CDV_PROY_BT!H389,FDV!$B$16:$E$24,IF(CDV_PROY_BT!$N$10="3F",3,4),FALSE),IF($D$10="ACS",VLOOKUP(CDV_PROY_BT!H389,FDV!$B$10:$E$15,IF(CDV_PROY_BT!$N$10="3F",3,4),FALSE),IF($D$10="5005 (PREENSAMBLADO)",VLOOKUP(CDV_PROY_BT!H389,FDV!$B$4:$E$9,IF(CDV_PROY_BT!$N$10="3F",3,4),FALSE),VLOOKUP(CDV_PROY_BT!H389,FDV!$B$25:$E$30,IF(CDV_PROY_BT!$N$10="3F",3,4),FALSE)))))</f>
        <v/>
      </c>
      <c r="K389" s="63" t="str">
        <f t="shared" si="52"/>
        <v/>
      </c>
      <c r="L389" s="62" t="str">
        <f t="shared" si="54"/>
        <v/>
      </c>
      <c r="M389" s="62" t="str">
        <f t="shared" si="55"/>
        <v/>
      </c>
      <c r="N389" s="155"/>
      <c r="U389" s="138">
        <f t="shared" si="56"/>
        <v>0</v>
      </c>
      <c r="V389" s="138">
        <f t="shared" si="57"/>
        <v>0</v>
      </c>
    </row>
    <row r="390" spans="1:22" hidden="1" x14ac:dyDescent="0.25">
      <c r="A390" s="167"/>
      <c r="B390" s="168"/>
      <c r="C390" s="169"/>
      <c r="D390" s="169"/>
      <c r="E390" s="170"/>
      <c r="F390" s="58" t="str">
        <f>IF($N$357="","",IF($N$357="INDUSTRIAL",IF(OR($D$355="",$D$361=""),"",IF(OR(D390&gt;$D$362,E390&gt;$D$363),"Rev. Total. abona.",IF(D390="",IF(E390="","",E390/(0.92*1000)),IF(OR($D$355="SAN CRISTOBAL",$D$355="FLOREANA"),VLOOKUP(D390,'Estratos SCY - FLO'!$A$4:$M$108,IF($D$361="A1",2,IF($D$361="A",5,IF($D$361="B",8,11))))+E390/(0.92*1000),VLOOKUP(D390,'Estratos SCX - ISA'!$A$3:$M$107,IF($D$361="A1",2,IF($D$361="A",5,IF($D$361="B",8,11))))+E390/(0.92*1000))))),IF(OR($D$355="",$D$361=""),"",IF(OR(D390&gt;$D$362,E390&gt;$D$363),"Rev. Total. abona.",IF(D390="",IF(E390="","",E390/(0.92*1000)),IF(OR($D$355="SAN CRISTOBAL",$D$355="FLOREANA"),VLOOKUP(D390,'Estratos SCY - FLO'!$O$4:$S$108,IF($D$361="A1",2,IF($D$361="A",3,IF($D$361="B",4,5))))+E390/(0.92*1000),VLOOKUP(D390,'Estratos SCX - ISA'!$O$4:$S$108,IF($D$361="A1",2,IF($D$361="A",3,IF($D$361="B",4,5))))+E390/(0.92*1000)))))))</f>
        <v/>
      </c>
      <c r="G390" s="59" t="str">
        <f t="shared" si="53"/>
        <v/>
      </c>
      <c r="H390" s="183"/>
      <c r="I390" s="183"/>
      <c r="J390" s="59" t="str">
        <f>IF(OR(H390="",$D$10="",$N$10=""),"",IF($D$10="COBRE",VLOOKUP(CDV_PROY_BT!H390,FDV!$B$16:$E$24,IF(CDV_PROY_BT!$N$10="3F",3,4),FALSE),IF($D$10="ACS",VLOOKUP(CDV_PROY_BT!H390,FDV!$B$10:$E$15,IF(CDV_PROY_BT!$N$10="3F",3,4),FALSE),IF($D$10="5005 (PREENSAMBLADO)",VLOOKUP(CDV_PROY_BT!H390,FDV!$B$4:$E$9,IF(CDV_PROY_BT!$N$10="3F",3,4),FALSE),VLOOKUP(CDV_PROY_BT!H390,FDV!$B$25:$E$30,IF(CDV_PROY_BT!$N$10="3F",3,4),FALSE)))))</f>
        <v/>
      </c>
      <c r="K390" s="63" t="str">
        <f t="shared" si="52"/>
        <v/>
      </c>
      <c r="L390" s="62" t="str">
        <f t="shared" si="54"/>
        <v/>
      </c>
      <c r="M390" s="62" t="str">
        <f t="shared" si="55"/>
        <v/>
      </c>
      <c r="N390" s="155"/>
      <c r="U390" s="138">
        <f t="shared" si="56"/>
        <v>0</v>
      </c>
      <c r="V390" s="138">
        <f t="shared" si="57"/>
        <v>0</v>
      </c>
    </row>
    <row r="391" spans="1:22" hidden="1" x14ac:dyDescent="0.25">
      <c r="A391" s="167"/>
      <c r="B391" s="168"/>
      <c r="C391" s="169"/>
      <c r="D391" s="169"/>
      <c r="E391" s="170"/>
      <c r="F391" s="58" t="str">
        <f>IF($N$357="","",IF($N$357="INDUSTRIAL",IF(OR($D$355="",$D$361=""),"",IF(OR(D391&gt;$D$362,E391&gt;$D$363),"Rev. Total. abona.",IF(D391="",IF(E391="","",E391/(0.92*1000)),IF(OR($D$355="SAN CRISTOBAL",$D$355="FLOREANA"),VLOOKUP(D391,'Estratos SCY - FLO'!$A$4:$M$108,IF($D$361="A1",2,IF($D$361="A",5,IF($D$361="B",8,11))))+E391/(0.92*1000),VLOOKUP(D391,'Estratos SCX - ISA'!$A$3:$M$107,IF($D$361="A1",2,IF($D$361="A",5,IF($D$361="B",8,11))))+E391/(0.92*1000))))),IF(OR($D$355="",$D$361=""),"",IF(OR(D391&gt;$D$362,E391&gt;$D$363),"Rev. Total. abona.",IF(D391="",IF(E391="","",E391/(0.92*1000)),IF(OR($D$355="SAN CRISTOBAL",$D$355="FLOREANA"),VLOOKUP(D391,'Estratos SCY - FLO'!$O$4:$S$108,IF($D$361="A1",2,IF($D$361="A",3,IF($D$361="B",4,5))))+E391/(0.92*1000),VLOOKUP(D391,'Estratos SCX - ISA'!$O$4:$S$108,IF($D$361="A1",2,IF($D$361="A",3,IF($D$361="B",4,5))))+E391/(0.92*1000)))))))</f>
        <v/>
      </c>
      <c r="G391" s="59" t="str">
        <f t="shared" si="53"/>
        <v/>
      </c>
      <c r="H391" s="183"/>
      <c r="I391" s="183"/>
      <c r="J391" s="59" t="str">
        <f>IF(OR(H391="",$D$10="",$N$10=""),"",IF($D$10="COBRE",VLOOKUP(CDV_PROY_BT!H391,FDV!$B$16:$E$24,IF(CDV_PROY_BT!$N$10="3F",3,4),FALSE),IF($D$10="ACS",VLOOKUP(CDV_PROY_BT!H391,FDV!$B$10:$E$15,IF(CDV_PROY_BT!$N$10="3F",3,4),FALSE),IF($D$10="5005 (PREENSAMBLADO)",VLOOKUP(CDV_PROY_BT!H391,FDV!$B$4:$E$9,IF(CDV_PROY_BT!$N$10="3F",3,4),FALSE),VLOOKUP(CDV_PROY_BT!H391,FDV!$B$25:$E$30,IF(CDV_PROY_BT!$N$10="3F",3,4),FALSE)))))</f>
        <v/>
      </c>
      <c r="K391" s="63" t="str">
        <f t="shared" si="52"/>
        <v/>
      </c>
      <c r="L391" s="62" t="str">
        <f t="shared" si="54"/>
        <v/>
      </c>
      <c r="M391" s="62" t="str">
        <f t="shared" si="55"/>
        <v/>
      </c>
      <c r="N391" s="155"/>
      <c r="U391" s="138">
        <f t="shared" si="56"/>
        <v>0</v>
      </c>
      <c r="V391" s="138">
        <f t="shared" si="57"/>
        <v>0</v>
      </c>
    </row>
    <row r="392" spans="1:22" hidden="1" x14ac:dyDescent="0.25">
      <c r="A392" s="167"/>
      <c r="B392" s="168"/>
      <c r="C392" s="169"/>
      <c r="D392" s="169"/>
      <c r="E392" s="170"/>
      <c r="F392" s="58" t="str">
        <f>IF($N$357="","",IF($N$357="INDUSTRIAL",IF(OR($D$355="",$D$361=""),"",IF(OR(D392&gt;$D$362,E392&gt;$D$363),"Rev. Total. abona.",IF(D392="",IF(E392="","",E392/(0.92*1000)),IF(OR($D$355="SAN CRISTOBAL",$D$355="FLOREANA"),VLOOKUP(D392,'Estratos SCY - FLO'!$A$4:$M$108,IF($D$361="A1",2,IF($D$361="A",5,IF($D$361="B",8,11))))+E392/(0.92*1000),VLOOKUP(D392,'Estratos SCX - ISA'!$A$3:$M$107,IF($D$361="A1",2,IF($D$361="A",5,IF($D$361="B",8,11))))+E392/(0.92*1000))))),IF(OR($D$355="",$D$361=""),"",IF(OR(D392&gt;$D$362,E392&gt;$D$363),"Rev. Total. abona.",IF(D392="",IF(E392="","",E392/(0.92*1000)),IF(OR($D$355="SAN CRISTOBAL",$D$355="FLOREANA"),VLOOKUP(D392,'Estratos SCY - FLO'!$O$4:$S$108,IF($D$361="A1",2,IF($D$361="A",3,IF($D$361="B",4,5))))+E392/(0.92*1000),VLOOKUP(D392,'Estratos SCX - ISA'!$O$4:$S$108,IF($D$361="A1",2,IF($D$361="A",3,IF($D$361="B",4,5))))+E392/(0.92*1000)))))))</f>
        <v/>
      </c>
      <c r="G392" s="59" t="str">
        <f t="shared" si="53"/>
        <v/>
      </c>
      <c r="H392" s="183"/>
      <c r="I392" s="183"/>
      <c r="J392" s="59" t="str">
        <f>IF(OR(H392="",$D$10="",$N$10=""),"",IF($D$10="COBRE",VLOOKUP(CDV_PROY_BT!H392,FDV!$B$16:$E$24,IF(CDV_PROY_BT!$N$10="3F",3,4),FALSE),IF($D$10="ACS",VLOOKUP(CDV_PROY_BT!H392,FDV!$B$10:$E$15,IF(CDV_PROY_BT!$N$10="3F",3,4),FALSE),IF($D$10="5005 (PREENSAMBLADO)",VLOOKUP(CDV_PROY_BT!H392,FDV!$B$4:$E$9,IF(CDV_PROY_BT!$N$10="3F",3,4),FALSE),VLOOKUP(CDV_PROY_BT!H392,FDV!$B$25:$E$30,IF(CDV_PROY_BT!$N$10="3F",3,4),FALSE)))))</f>
        <v/>
      </c>
      <c r="K392" s="63" t="str">
        <f t="shared" si="52"/>
        <v/>
      </c>
      <c r="L392" s="62" t="str">
        <f t="shared" si="54"/>
        <v/>
      </c>
      <c r="M392" s="62" t="str">
        <f t="shared" si="55"/>
        <v/>
      </c>
      <c r="N392" s="155"/>
      <c r="U392" s="138">
        <f t="shared" si="56"/>
        <v>0</v>
      </c>
      <c r="V392" s="138">
        <f t="shared" si="57"/>
        <v>0</v>
      </c>
    </row>
    <row r="393" spans="1:22" hidden="1" x14ac:dyDescent="0.25">
      <c r="A393" s="167"/>
      <c r="B393" s="168"/>
      <c r="C393" s="169"/>
      <c r="D393" s="169"/>
      <c r="E393" s="170"/>
      <c r="F393" s="58" t="str">
        <f>IF($N$357="","",IF($N$357="INDUSTRIAL",IF(OR($D$355="",$D$361=""),"",IF(OR(D393&gt;$D$362,E393&gt;$D$363),"Rev. Total. abona.",IF(D393="",IF(E393="","",E393/(0.92*1000)),IF(OR($D$355="SAN CRISTOBAL",$D$355="FLOREANA"),VLOOKUP(D393,'Estratos SCY - FLO'!$A$4:$M$108,IF($D$361="A1",2,IF($D$361="A",5,IF($D$361="B",8,11))))+E393/(0.92*1000),VLOOKUP(D393,'Estratos SCX - ISA'!$A$3:$M$107,IF($D$361="A1",2,IF($D$361="A",5,IF($D$361="B",8,11))))+E393/(0.92*1000))))),IF(OR($D$355="",$D$361=""),"",IF(OR(D393&gt;$D$362,E393&gt;$D$363),"Rev. Total. abona.",IF(D393="",IF(E393="","",E393/(0.92*1000)),IF(OR($D$355="SAN CRISTOBAL",$D$355="FLOREANA"),VLOOKUP(D393,'Estratos SCY - FLO'!$O$4:$S$108,IF($D$361="A1",2,IF($D$361="A",3,IF($D$361="B",4,5))))+E393/(0.92*1000),VLOOKUP(D393,'Estratos SCX - ISA'!$O$4:$S$108,IF($D$361="A1",2,IF($D$361="A",3,IF($D$361="B",4,5))))+E393/(0.92*1000)))))))</f>
        <v/>
      </c>
      <c r="G393" s="59" t="str">
        <f t="shared" si="53"/>
        <v/>
      </c>
      <c r="H393" s="183"/>
      <c r="I393" s="183"/>
      <c r="J393" s="59" t="str">
        <f>IF(OR(H393="",$D$10="",$N$10=""),"",IF($D$10="COBRE",VLOOKUP(CDV_PROY_BT!H393,FDV!$B$16:$E$24,IF(CDV_PROY_BT!$N$10="3F",3,4),FALSE),IF($D$10="ACS",VLOOKUP(CDV_PROY_BT!H393,FDV!$B$10:$E$15,IF(CDV_PROY_BT!$N$10="3F",3,4),FALSE),IF($D$10="5005 (PREENSAMBLADO)",VLOOKUP(CDV_PROY_BT!H393,FDV!$B$4:$E$9,IF(CDV_PROY_BT!$N$10="3F",3,4),FALSE),VLOOKUP(CDV_PROY_BT!H393,FDV!$B$25:$E$30,IF(CDV_PROY_BT!$N$10="3F",3,4),FALSE)))))</f>
        <v/>
      </c>
      <c r="K393" s="63" t="str">
        <f t="shared" si="52"/>
        <v/>
      </c>
      <c r="L393" s="62" t="str">
        <f t="shared" si="54"/>
        <v/>
      </c>
      <c r="M393" s="62" t="str">
        <f t="shared" si="55"/>
        <v/>
      </c>
      <c r="N393" s="155"/>
      <c r="U393" s="138">
        <f t="shared" si="56"/>
        <v>0</v>
      </c>
      <c r="V393" s="138">
        <f t="shared" si="57"/>
        <v>0</v>
      </c>
    </row>
    <row r="394" spans="1:22" hidden="1" x14ac:dyDescent="0.25">
      <c r="A394" s="167"/>
      <c r="B394" s="168"/>
      <c r="C394" s="169"/>
      <c r="D394" s="169"/>
      <c r="E394" s="170"/>
      <c r="F394" s="58" t="str">
        <f>IF($N$357="","",IF($N$357="INDUSTRIAL",IF(OR($D$355="",$D$361=""),"",IF(OR(D394&gt;$D$362,E394&gt;$D$363),"Rev. Total. abona.",IF(D394="",IF(E394="","",E394/(0.92*1000)),IF(OR($D$355="SAN CRISTOBAL",$D$355="FLOREANA"),VLOOKUP(D394,'Estratos SCY - FLO'!$A$4:$M$108,IF($D$361="A1",2,IF($D$361="A",5,IF($D$361="B",8,11))))+E394/(0.92*1000),VLOOKUP(D394,'Estratos SCX - ISA'!$A$3:$M$107,IF($D$361="A1",2,IF($D$361="A",5,IF($D$361="B",8,11))))+E394/(0.92*1000))))),IF(OR($D$355="",$D$361=""),"",IF(OR(D394&gt;$D$362,E394&gt;$D$363),"Rev. Total. abona.",IF(D394="",IF(E394="","",E394/(0.92*1000)),IF(OR($D$355="SAN CRISTOBAL",$D$355="FLOREANA"),VLOOKUP(D394,'Estratos SCY - FLO'!$O$4:$S$108,IF($D$361="A1",2,IF($D$361="A",3,IF($D$361="B",4,5))))+E394/(0.92*1000),VLOOKUP(D394,'Estratos SCX - ISA'!$O$4:$S$108,IF($D$361="A1",2,IF($D$361="A",3,IF($D$361="B",4,5))))+E394/(0.92*1000)))))))</f>
        <v/>
      </c>
      <c r="G394" s="59" t="str">
        <f t="shared" si="53"/>
        <v/>
      </c>
      <c r="H394" s="183"/>
      <c r="I394" s="183"/>
      <c r="J394" s="59" t="str">
        <f>IF(OR(H394="",$D$10="",$N$10=""),"",IF($D$10="COBRE",VLOOKUP(CDV_PROY_BT!H394,FDV!$B$16:$E$24,IF(CDV_PROY_BT!$N$10="3F",3,4),FALSE),IF($D$10="ACS",VLOOKUP(CDV_PROY_BT!H394,FDV!$B$10:$E$15,IF(CDV_PROY_BT!$N$10="3F",3,4),FALSE),IF($D$10="5005 (PREENSAMBLADO)",VLOOKUP(CDV_PROY_BT!H394,FDV!$B$4:$E$9,IF(CDV_PROY_BT!$N$10="3F",3,4),FALSE),VLOOKUP(CDV_PROY_BT!H394,FDV!$B$25:$E$30,IF(CDV_PROY_BT!$N$10="3F",3,4),FALSE)))))</f>
        <v/>
      </c>
      <c r="K394" s="63" t="str">
        <f t="shared" si="52"/>
        <v/>
      </c>
      <c r="L394" s="62" t="str">
        <f t="shared" si="54"/>
        <v/>
      </c>
      <c r="M394" s="62" t="str">
        <f t="shared" si="55"/>
        <v/>
      </c>
      <c r="N394" s="155"/>
      <c r="U394" s="138">
        <f t="shared" si="56"/>
        <v>0</v>
      </c>
      <c r="V394" s="138">
        <f t="shared" si="57"/>
        <v>0</v>
      </c>
    </row>
    <row r="395" spans="1:22" hidden="1" x14ac:dyDescent="0.25">
      <c r="A395" s="167"/>
      <c r="B395" s="168"/>
      <c r="C395" s="169"/>
      <c r="D395" s="169"/>
      <c r="E395" s="170"/>
      <c r="F395" s="58" t="str">
        <f>IF($N$357="","",IF($N$357="INDUSTRIAL",IF(OR($D$355="",$D$361=""),"",IF(OR(D395&gt;$D$362,E395&gt;$D$363),"Rev. Total. abona.",IF(D395="",IF(E395="","",E395/(0.92*1000)),IF(OR($D$355="SAN CRISTOBAL",$D$355="FLOREANA"),VLOOKUP(D395,'Estratos SCY - FLO'!$A$4:$M$108,IF($D$361="A1",2,IF($D$361="A",5,IF($D$361="B",8,11))))+E395/(0.92*1000),VLOOKUP(D395,'Estratos SCX - ISA'!$A$3:$M$107,IF($D$361="A1",2,IF($D$361="A",5,IF($D$361="B",8,11))))+E395/(0.92*1000))))),IF(OR($D$355="",$D$361=""),"",IF(OR(D395&gt;$D$362,E395&gt;$D$363),"Rev. Total. abona.",IF(D395="",IF(E395="","",E395/(0.92*1000)),IF(OR($D$355="SAN CRISTOBAL",$D$355="FLOREANA"),VLOOKUP(D395,'Estratos SCY - FLO'!$O$4:$S$108,IF($D$361="A1",2,IF($D$361="A",3,IF($D$361="B",4,5))))+E395/(0.92*1000),VLOOKUP(D395,'Estratos SCX - ISA'!$O$4:$S$108,IF($D$361="A1",2,IF($D$361="A",3,IF($D$361="B",4,5))))+E395/(0.92*1000)))))))</f>
        <v/>
      </c>
      <c r="G395" s="59" t="str">
        <f t="shared" si="53"/>
        <v/>
      </c>
      <c r="H395" s="183"/>
      <c r="I395" s="183"/>
      <c r="J395" s="59" t="str">
        <f>IF(OR(H395="",$D$10="",$N$10=""),"",IF($D$10="COBRE",VLOOKUP(CDV_PROY_BT!H395,FDV!$B$16:$E$24,IF(CDV_PROY_BT!$N$10="3F",3,4),FALSE),IF($D$10="ACS",VLOOKUP(CDV_PROY_BT!H395,FDV!$B$10:$E$15,IF(CDV_PROY_BT!$N$10="3F",3,4),FALSE),IF($D$10="5005 (PREENSAMBLADO)",VLOOKUP(CDV_PROY_BT!H395,FDV!$B$4:$E$9,IF(CDV_PROY_BT!$N$10="3F",3,4),FALSE),VLOOKUP(CDV_PROY_BT!H395,FDV!$B$25:$E$30,IF(CDV_PROY_BT!$N$10="3F",3,4),FALSE)))))</f>
        <v/>
      </c>
      <c r="K395" s="63" t="str">
        <f t="shared" si="52"/>
        <v/>
      </c>
      <c r="L395" s="62" t="str">
        <f t="shared" si="54"/>
        <v/>
      </c>
      <c r="M395" s="62" t="str">
        <f t="shared" si="55"/>
        <v/>
      </c>
      <c r="N395" s="155"/>
      <c r="U395" s="138">
        <f t="shared" si="56"/>
        <v>0</v>
      </c>
      <c r="V395" s="138">
        <f t="shared" si="57"/>
        <v>0</v>
      </c>
    </row>
    <row r="396" spans="1:22" hidden="1" x14ac:dyDescent="0.25">
      <c r="A396" s="167"/>
      <c r="B396" s="168"/>
      <c r="C396" s="169"/>
      <c r="D396" s="169"/>
      <c r="E396" s="170"/>
      <c r="F396" s="58" t="str">
        <f>IF($N$357="","",IF($N$357="INDUSTRIAL",IF(OR($D$355="",$D$361=""),"",IF(OR(D396&gt;$D$362,E396&gt;$D$363),"Rev. Total. abona.",IF(D396="",IF(E396="","",E396/(0.92*1000)),IF(OR($D$355="SAN CRISTOBAL",$D$355="FLOREANA"),VLOOKUP(D396,'Estratos SCY - FLO'!$A$4:$M$108,IF($D$361="A1",2,IF($D$361="A",5,IF($D$361="B",8,11))))+E396/(0.92*1000),VLOOKUP(D396,'Estratos SCX - ISA'!$A$3:$M$107,IF($D$361="A1",2,IF($D$361="A",5,IF($D$361="B",8,11))))+E396/(0.92*1000))))),IF(OR($D$355="",$D$361=""),"",IF(OR(D396&gt;$D$362,E396&gt;$D$363),"Rev. Total. abona.",IF(D396="",IF(E396="","",E396/(0.92*1000)),IF(OR($D$355="SAN CRISTOBAL",$D$355="FLOREANA"),VLOOKUP(D396,'Estratos SCY - FLO'!$O$4:$S$108,IF($D$361="A1",2,IF($D$361="A",3,IF($D$361="B",4,5))))+E396/(0.92*1000),VLOOKUP(D396,'Estratos SCX - ISA'!$O$4:$S$108,IF($D$361="A1",2,IF($D$361="A",3,IF($D$361="B",4,5))))+E396/(0.92*1000)))))))</f>
        <v/>
      </c>
      <c r="G396" s="59" t="str">
        <f t="shared" si="53"/>
        <v/>
      </c>
      <c r="H396" s="183"/>
      <c r="I396" s="183"/>
      <c r="J396" s="59" t="str">
        <f>IF(OR(H396="",$D$10="",$N$10=""),"",IF($D$10="COBRE",VLOOKUP(CDV_PROY_BT!H396,FDV!$B$16:$E$24,IF(CDV_PROY_BT!$N$10="3F",3,4),FALSE),IF($D$10="ACS",VLOOKUP(CDV_PROY_BT!H396,FDV!$B$10:$E$15,IF(CDV_PROY_BT!$N$10="3F",3,4),FALSE),IF($D$10="5005 (PREENSAMBLADO)",VLOOKUP(CDV_PROY_BT!H396,FDV!$B$4:$E$9,IF(CDV_PROY_BT!$N$10="3F",3,4),FALSE),VLOOKUP(CDV_PROY_BT!H396,FDV!$B$25:$E$30,IF(CDV_PROY_BT!$N$10="3F",3,4),FALSE)))))</f>
        <v/>
      </c>
      <c r="K396" s="63" t="str">
        <f t="shared" si="52"/>
        <v/>
      </c>
      <c r="L396" s="62" t="str">
        <f t="shared" si="54"/>
        <v/>
      </c>
      <c r="M396" s="62" t="str">
        <f t="shared" si="55"/>
        <v/>
      </c>
      <c r="N396" s="155"/>
      <c r="U396" s="138">
        <f t="shared" si="56"/>
        <v>0</v>
      </c>
      <c r="V396" s="138">
        <f t="shared" si="57"/>
        <v>0</v>
      </c>
    </row>
    <row r="397" spans="1:22" hidden="1" x14ac:dyDescent="0.25">
      <c r="A397" s="167"/>
      <c r="B397" s="168"/>
      <c r="C397" s="169"/>
      <c r="D397" s="169"/>
      <c r="E397" s="170"/>
      <c r="F397" s="58" t="str">
        <f>IF($N$357="","",IF($N$357="INDUSTRIAL",IF(OR($D$355="",$D$361=""),"",IF(OR(D397&gt;$D$362,E397&gt;$D$363),"Rev. Total. abona.",IF(D397="",IF(E397="","",E397/(0.92*1000)),IF(OR($D$355="SAN CRISTOBAL",$D$355="FLOREANA"),VLOOKUP(D397,'Estratos SCY - FLO'!$A$4:$M$108,IF($D$361="A1",2,IF($D$361="A",5,IF($D$361="B",8,11))))+E397/(0.92*1000),VLOOKUP(D397,'Estratos SCX - ISA'!$A$3:$M$107,IF($D$361="A1",2,IF($D$361="A",5,IF($D$361="B",8,11))))+E397/(0.92*1000))))),IF(OR($D$355="",$D$361=""),"",IF(OR(D397&gt;$D$362,E397&gt;$D$363),"Rev. Total. abona.",IF(D397="",IF(E397="","",E397/(0.92*1000)),IF(OR($D$355="SAN CRISTOBAL",$D$355="FLOREANA"),VLOOKUP(D397,'Estratos SCY - FLO'!$O$4:$S$108,IF($D$361="A1",2,IF($D$361="A",3,IF($D$361="B",4,5))))+E397/(0.92*1000),VLOOKUP(D397,'Estratos SCX - ISA'!$O$4:$S$108,IF($D$361="A1",2,IF($D$361="A",3,IF($D$361="B",4,5))))+E397/(0.92*1000)))))))</f>
        <v/>
      </c>
      <c r="G397" s="59" t="str">
        <f t="shared" si="53"/>
        <v/>
      </c>
      <c r="H397" s="183"/>
      <c r="I397" s="183"/>
      <c r="J397" s="59" t="str">
        <f>IF(OR(H397="",$D$10="",$N$10=""),"",IF($D$10="COBRE",VLOOKUP(CDV_PROY_BT!H397,FDV!$B$16:$E$24,IF(CDV_PROY_BT!$N$10="3F",3,4),FALSE),IF($D$10="ACS",VLOOKUP(CDV_PROY_BT!H397,FDV!$B$10:$E$15,IF(CDV_PROY_BT!$N$10="3F",3,4),FALSE),IF($D$10="5005 (PREENSAMBLADO)",VLOOKUP(CDV_PROY_BT!H397,FDV!$B$4:$E$9,IF(CDV_PROY_BT!$N$10="3F",3,4),FALSE),VLOOKUP(CDV_PROY_BT!H397,FDV!$B$25:$E$30,IF(CDV_PROY_BT!$N$10="3F",3,4),FALSE)))))</f>
        <v/>
      </c>
      <c r="K397" s="63" t="str">
        <f t="shared" si="52"/>
        <v/>
      </c>
      <c r="L397" s="62" t="str">
        <f t="shared" si="54"/>
        <v/>
      </c>
      <c r="M397" s="62" t="str">
        <f t="shared" si="55"/>
        <v/>
      </c>
      <c r="N397" s="156"/>
      <c r="U397" s="138">
        <f t="shared" si="56"/>
        <v>0</v>
      </c>
      <c r="V397" s="138">
        <f t="shared" si="57"/>
        <v>0</v>
      </c>
    </row>
    <row r="398" spans="1:22" ht="15.75" hidden="1" thickBot="1" x14ac:dyDescent="0.3">
      <c r="A398" s="178"/>
      <c r="B398" s="179"/>
      <c r="C398" s="180"/>
      <c r="D398" s="180"/>
      <c r="E398" s="181"/>
      <c r="F398" s="68" t="str">
        <f>IF($N$357="","",IF($N$357="INDUSTRIAL",IF(OR($D$355="",$D$361=""),"",IF(OR(D398&gt;$D$362,E398&gt;$D$363),"Rev. Total. abona.",IF(D398="",IF(E398="","",E398/(0.92*1000)),IF(OR($D$355="SAN CRISTOBAL",$D$355="FLOREANA"),VLOOKUP(D398,'Estratos SCY - FLO'!$A$4:$M$108,IF($D$361="A1",2,IF($D$361="A",5,IF($D$361="B",8,11))))+E398/(0.92*1000),VLOOKUP(D398,'Estratos SCX - ISA'!$A$3:$M$107,IF($D$361="A1",2,IF($D$361="A",5,IF($D$361="B",8,11))))+E398/(0.92*1000))))),IF(OR($D$355="",$D$361=""),"",IF(OR(D398&gt;$D$362,E398&gt;$D$363),"Rev. Total. abona.",IF(D398="",IF(E398="","",E398/(0.92*1000)),IF(OR($D$355="SAN CRISTOBAL",$D$355="FLOREANA"),VLOOKUP(D398,'Estratos SCY - FLO'!$O$4:$S$108,IF($D$361="A1",2,IF($D$361="A",3,IF($D$361="B",4,5))))+E398/(0.92*1000),VLOOKUP(D398,'Estratos SCX - ISA'!$O$4:$S$108,IF($D$361="A1",2,IF($D$361="A",3,IF($D$361="B",4,5))))+E398/(0.92*1000)))))))</f>
        <v/>
      </c>
      <c r="G398" s="69" t="str">
        <f t="shared" si="53"/>
        <v/>
      </c>
      <c r="H398" s="184"/>
      <c r="I398" s="184"/>
      <c r="J398" s="69" t="str">
        <f>IF(OR(H398="",$D$10="",$N$10=""),"",IF($D$10="COBRE",VLOOKUP(CDV_PROY_BT!H398,FDV!$B$16:$E$24,IF(CDV_PROY_BT!$N$10="3F",3,4),FALSE),IF($D$10="ACS",VLOOKUP(CDV_PROY_BT!H398,FDV!$B$10:$E$15,IF(CDV_PROY_BT!$N$10="3F",3,4),FALSE),IF($D$10="5005 (PREENSAMBLADO)",VLOOKUP(CDV_PROY_BT!H398,FDV!$B$4:$E$9,IF(CDV_PROY_BT!$N$10="3F",3,4),FALSE),VLOOKUP(CDV_PROY_BT!H398,FDV!$B$25:$E$30,IF(CDV_PROY_BT!$N$10="3F",3,4),FALSE)))))</f>
        <v/>
      </c>
      <c r="K398" s="65" t="str">
        <f t="shared" si="52"/>
        <v/>
      </c>
      <c r="L398" s="64" t="str">
        <f t="shared" si="54"/>
        <v/>
      </c>
      <c r="M398" s="64" t="str">
        <f t="shared" si="55"/>
        <v/>
      </c>
      <c r="N398" s="157"/>
      <c r="U398" s="138">
        <f t="shared" si="56"/>
        <v>0</v>
      </c>
      <c r="V398" s="138">
        <f t="shared" si="57"/>
        <v>0</v>
      </c>
    </row>
    <row r="399" spans="1:22" ht="15.75" hidden="1" thickBot="1" x14ac:dyDescent="0.3">
      <c r="A399" s="143"/>
      <c r="B399" s="67" t="str">
        <f>IF(N368="","",N368)</f>
        <v>P37</v>
      </c>
      <c r="C399" s="144"/>
      <c r="D399" s="144"/>
      <c r="E399" s="145"/>
      <c r="F399" s="68"/>
      <c r="G399" s="69" t="str">
        <f t="shared" si="53"/>
        <v/>
      </c>
      <c r="H399" s="146" t="e">
        <f>IF(B399="","",IF(B399-A399=1,H398,""))</f>
        <v>#VALUE!</v>
      </c>
      <c r="I399" s="146"/>
      <c r="J399" s="70" t="e">
        <f>IF(OR(H399="",$D$10="",$N$10=""),"",IF($D$10="COBRE",VLOOKUP(CDV_PROY_BT!H399,FDV!$B$16:$E$24,IF(CDV_PROY_BT!$N$10="3F",3,4),FALSE),IF($D$10="ACS",VLOOKUP(CDV_PROY_BT!H399,FDV!$B$10:$E$15,IF(CDV_PROY_BT!$N$10="3F",3,4),FALSE),IF($D$10="5005 (PREENSAMBLADO)",VLOOKUP(CDV_PROY_BT!H399,FDV!$B$4:$E$9,IF(CDV_PROY_BT!$N$10="3F",3,4),FALSE),VLOOKUP(CDV_PROY_BT!H399,FDV!$B$25:$E$30,IF(CDV_PROY_BT!$N$10="3F",3,4),FALSE)))))</f>
        <v>#VALUE!</v>
      </c>
      <c r="K399" s="71" t="str">
        <f t="shared" si="52"/>
        <v/>
      </c>
      <c r="L399" s="68" t="str">
        <f t="shared" ref="L399" si="58">IF(C399="","",ROUND(K399/J399,2))</f>
        <v/>
      </c>
      <c r="M399" s="72">
        <v>0</v>
      </c>
      <c r="N399" s="66"/>
      <c r="U399" s="138">
        <f t="shared" ref="U399:U400" si="59">+IF(D399&gt;0,C399,0)</f>
        <v>0</v>
      </c>
      <c r="V399" s="138">
        <f t="shared" ref="V399:V400" si="60">IF(C399="",0,C399*G399)</f>
        <v>0</v>
      </c>
    </row>
    <row r="400" spans="1:22" ht="15.75" hidden="1" thickBot="1" x14ac:dyDescent="0.3">
      <c r="A400" s="73" t="s">
        <v>113</v>
      </c>
      <c r="B400" s="74"/>
      <c r="C400" s="75"/>
      <c r="D400" s="75"/>
      <c r="E400" s="76"/>
      <c r="F400" s="77"/>
      <c r="G400" s="78"/>
      <c r="H400" s="79"/>
      <c r="I400" s="79"/>
      <c r="J400" s="78"/>
      <c r="K400" s="121"/>
      <c r="L400" s="121"/>
      <c r="M400" s="128"/>
      <c r="N400" s="237"/>
      <c r="U400" s="138">
        <f t="shared" si="59"/>
        <v>0</v>
      </c>
      <c r="V400" s="138">
        <f t="shared" si="60"/>
        <v>0</v>
      </c>
    </row>
    <row r="401" spans="1:14" ht="15.75" hidden="1" thickBot="1" x14ac:dyDescent="0.3">
      <c r="A401" s="93" t="s">
        <v>96</v>
      </c>
      <c r="B401" s="94">
        <f>+ROUND(SUMIF(H372:H398,"4/0",V372:V400)*1.015,0)</f>
        <v>0</v>
      </c>
      <c r="C401" s="93" t="s">
        <v>97</v>
      </c>
      <c r="D401" s="94">
        <f>ROUND((SUMIF(H372:H398,"3/0",V372:V400))*1.015,0)</f>
        <v>0</v>
      </c>
      <c r="E401" s="82" t="s">
        <v>95</v>
      </c>
      <c r="F401" s="81">
        <f>ROUND((SUMIF(H372:H398,"2/0",V372:V400))*1.015,0)</f>
        <v>0</v>
      </c>
      <c r="G401" s="80" t="s">
        <v>57</v>
      </c>
      <c r="H401" s="81">
        <f>ROUND((SUMIF(H372:H398,"1/0",V372:V400))*1.015,0)</f>
        <v>126</v>
      </c>
      <c r="I401" s="93" t="s">
        <v>58</v>
      </c>
      <c r="J401" s="94">
        <f>ROUND((SUMIF(H372:H398,"2",V372:V400))*1.015,0)</f>
        <v>0</v>
      </c>
      <c r="K401" s="147"/>
      <c r="L401" s="91"/>
      <c r="M401" s="92"/>
      <c r="N401" s="238"/>
    </row>
    <row r="402" spans="1:14" ht="15.75" hidden="1" thickBot="1" x14ac:dyDescent="0.3">
      <c r="A402" s="119" t="s">
        <v>107</v>
      </c>
      <c r="B402" s="92"/>
      <c r="C402" s="91"/>
      <c r="D402" s="92"/>
      <c r="E402" s="91"/>
      <c r="F402" s="92"/>
      <c r="G402" s="91"/>
      <c r="H402" s="92"/>
      <c r="I402" s="92"/>
      <c r="J402" s="91"/>
      <c r="K402" s="92"/>
      <c r="L402" s="91"/>
      <c r="M402" s="92"/>
      <c r="N402" s="238"/>
    </row>
    <row r="403" spans="1:14" ht="15.75" hidden="1" thickBot="1" x14ac:dyDescent="0.3">
      <c r="A403" s="93" t="s">
        <v>96</v>
      </c>
      <c r="B403" s="94">
        <f>+ROUND(SUMIF(I372:I398,"4/0",U372:U400)*1.015,0)</f>
        <v>0</v>
      </c>
      <c r="C403" s="93" t="s">
        <v>97</v>
      </c>
      <c r="D403" s="94">
        <f>ROUND((SUMIF(I372:I398,"3/0",U372:U400))*1.015,0)</f>
        <v>0</v>
      </c>
      <c r="E403" s="93" t="s">
        <v>95</v>
      </c>
      <c r="F403" s="94">
        <f>ROUND((SUMIF(I372:I398,"2/0",U372:U400))*1.015,0)</f>
        <v>0</v>
      </c>
      <c r="G403" s="93" t="s">
        <v>57</v>
      </c>
      <c r="H403" s="94">
        <f>ROUND((SUMIF(I372:I398,"1/0",U372:U400))*1.015,0)</f>
        <v>126</v>
      </c>
      <c r="I403" s="93" t="s">
        <v>58</v>
      </c>
      <c r="J403" s="94">
        <f>ROUND((SUMIF(I372:I398,"2",U372:U400))*1.015,0)</f>
        <v>0</v>
      </c>
      <c r="L403" s="91"/>
      <c r="M403" s="92"/>
      <c r="N403" s="238"/>
    </row>
    <row r="404" spans="1:14" ht="15.75" hidden="1" thickBot="1" x14ac:dyDescent="0.3">
      <c r="A404" s="239" t="s">
        <v>123</v>
      </c>
      <c r="B404" s="239"/>
      <c r="C404" s="239"/>
      <c r="D404" s="21">
        <f>IF(N359="","",SUM(C372:C398))</f>
        <v>124</v>
      </c>
      <c r="E404" s="28" t="s">
        <v>59</v>
      </c>
      <c r="G404" s="21"/>
      <c r="H404" s="21"/>
      <c r="I404" s="21"/>
      <c r="J404" s="21"/>
      <c r="K404" s="21"/>
      <c r="L404" s="21"/>
      <c r="M404" s="23"/>
      <c r="N404" s="83" t="s">
        <v>80</v>
      </c>
    </row>
    <row r="405" spans="1:14" hidden="1" x14ac:dyDescent="0.25">
      <c r="A405" s="36" t="s">
        <v>60</v>
      </c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1"/>
      <c r="N405" s="84" t="s">
        <v>61</v>
      </c>
    </row>
    <row r="406" spans="1:14" ht="15.75" hidden="1" thickBot="1" x14ac:dyDescent="0.3">
      <c r="A406" s="148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3"/>
      <c r="N406" s="85">
        <f>MAX(N372:N398)</f>
        <v>4.8100000000000005</v>
      </c>
    </row>
    <row r="407" spans="1:14" hidden="1" x14ac:dyDescent="0.25"/>
    <row r="408" spans="1:14" hidden="1" x14ac:dyDescent="0.25"/>
  </sheetData>
  <mergeCells count="158"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5:R16"/>
    <mergeCell ref="R17:R18"/>
    <mergeCell ref="I8:J8"/>
    <mergeCell ref="U21:U22"/>
    <mergeCell ref="V21:V22"/>
    <mergeCell ref="B55:M55"/>
    <mergeCell ref="N50:N53"/>
    <mergeCell ref="B56:M56"/>
    <mergeCell ref="A54:C54"/>
    <mergeCell ref="R14:T14"/>
    <mergeCell ref="D66:F66"/>
    <mergeCell ref="D68:E68"/>
    <mergeCell ref="H71:J71"/>
    <mergeCell ref="H72:J72"/>
    <mergeCell ref="A73:J73"/>
    <mergeCell ref="A60:N60"/>
    <mergeCell ref="A62:N62"/>
    <mergeCell ref="D64:E64"/>
    <mergeCell ref="F64:G64"/>
    <mergeCell ref="H64:J64"/>
    <mergeCell ref="K64:L64"/>
    <mergeCell ref="M64:N64"/>
    <mergeCell ref="V79:V80"/>
    <mergeCell ref="N109:N112"/>
    <mergeCell ref="A113:C113"/>
    <mergeCell ref="B114:M114"/>
    <mergeCell ref="B115:M115"/>
    <mergeCell ref="A79:B79"/>
    <mergeCell ref="G79:J79"/>
    <mergeCell ref="K79:K80"/>
    <mergeCell ref="L79:N79"/>
    <mergeCell ref="U79:U80"/>
    <mergeCell ref="D125:F125"/>
    <mergeCell ref="D127:E127"/>
    <mergeCell ref="H130:J130"/>
    <mergeCell ref="H131:J131"/>
    <mergeCell ref="A132:J132"/>
    <mergeCell ref="A119:N119"/>
    <mergeCell ref="A121:N121"/>
    <mergeCell ref="D123:E123"/>
    <mergeCell ref="F123:G123"/>
    <mergeCell ref="H123:J123"/>
    <mergeCell ref="K123:L123"/>
    <mergeCell ref="M123:N123"/>
    <mergeCell ref="V138:V139"/>
    <mergeCell ref="N168:N171"/>
    <mergeCell ref="A172:C172"/>
    <mergeCell ref="B173:M173"/>
    <mergeCell ref="B174:M174"/>
    <mergeCell ref="A138:B138"/>
    <mergeCell ref="G138:J138"/>
    <mergeCell ref="K138:K139"/>
    <mergeCell ref="L138:N138"/>
    <mergeCell ref="U138:U139"/>
    <mergeCell ref="D183:F183"/>
    <mergeCell ref="D185:E185"/>
    <mergeCell ref="H188:J188"/>
    <mergeCell ref="H189:J189"/>
    <mergeCell ref="A190:J190"/>
    <mergeCell ref="A177:N177"/>
    <mergeCell ref="A179:N179"/>
    <mergeCell ref="D181:E181"/>
    <mergeCell ref="F181:G181"/>
    <mergeCell ref="H181:J181"/>
    <mergeCell ref="K181:L181"/>
    <mergeCell ref="M181:N181"/>
    <mergeCell ref="V196:V197"/>
    <mergeCell ref="N226:N229"/>
    <mergeCell ref="A230:C230"/>
    <mergeCell ref="B231:M231"/>
    <mergeCell ref="B232:M232"/>
    <mergeCell ref="A196:B196"/>
    <mergeCell ref="G196:J196"/>
    <mergeCell ref="K196:K197"/>
    <mergeCell ref="L196:N196"/>
    <mergeCell ref="U196:U197"/>
    <mergeCell ref="D241:F241"/>
    <mergeCell ref="D243:E243"/>
    <mergeCell ref="H246:J246"/>
    <mergeCell ref="H247:J247"/>
    <mergeCell ref="A248:J248"/>
    <mergeCell ref="A235:N235"/>
    <mergeCell ref="A237:N237"/>
    <mergeCell ref="D239:E239"/>
    <mergeCell ref="F239:G239"/>
    <mergeCell ref="H239:J239"/>
    <mergeCell ref="K239:L239"/>
    <mergeCell ref="M239:N239"/>
    <mergeCell ref="V254:V255"/>
    <mergeCell ref="N284:N287"/>
    <mergeCell ref="A288:C288"/>
    <mergeCell ref="B289:M289"/>
    <mergeCell ref="B290:M290"/>
    <mergeCell ref="A254:B254"/>
    <mergeCell ref="G254:J254"/>
    <mergeCell ref="K254:K255"/>
    <mergeCell ref="L254:N254"/>
    <mergeCell ref="U254:U255"/>
    <mergeCell ref="D299:F299"/>
    <mergeCell ref="D301:E301"/>
    <mergeCell ref="H304:J304"/>
    <mergeCell ref="H305:J305"/>
    <mergeCell ref="A306:J306"/>
    <mergeCell ref="A293:N293"/>
    <mergeCell ref="A295:N295"/>
    <mergeCell ref="D297:E297"/>
    <mergeCell ref="F297:G297"/>
    <mergeCell ref="H297:J297"/>
    <mergeCell ref="K297:L297"/>
    <mergeCell ref="M297:N297"/>
    <mergeCell ref="V312:V313"/>
    <mergeCell ref="N342:N345"/>
    <mergeCell ref="A346:C346"/>
    <mergeCell ref="B347:M347"/>
    <mergeCell ref="B348:M348"/>
    <mergeCell ref="A312:B312"/>
    <mergeCell ref="G312:J312"/>
    <mergeCell ref="K312:K313"/>
    <mergeCell ref="L312:N312"/>
    <mergeCell ref="U312:U313"/>
    <mergeCell ref="D357:F357"/>
    <mergeCell ref="D359:E359"/>
    <mergeCell ref="H362:J362"/>
    <mergeCell ref="H363:J363"/>
    <mergeCell ref="A364:J364"/>
    <mergeCell ref="A351:N351"/>
    <mergeCell ref="A353:N353"/>
    <mergeCell ref="D355:E355"/>
    <mergeCell ref="F355:G355"/>
    <mergeCell ref="H355:J355"/>
    <mergeCell ref="K355:L355"/>
    <mergeCell ref="M355:N355"/>
    <mergeCell ref="V370:V371"/>
    <mergeCell ref="N400:N403"/>
    <mergeCell ref="A404:C404"/>
    <mergeCell ref="B405:M405"/>
    <mergeCell ref="B406:M406"/>
    <mergeCell ref="A370:B370"/>
    <mergeCell ref="G370:J370"/>
    <mergeCell ref="K370:K371"/>
    <mergeCell ref="L370:N370"/>
    <mergeCell ref="U370:U371"/>
  </mergeCells>
  <conditionalFormatting sqref="N41:N49 N100:N108 N159:N167 N217:N225 N275:N283 N333:N341 N391:N399 N23:N24 N26:N39">
    <cfRule type="expression" dxfId="68" priority="66" stopIfTrue="1">
      <formula>$X22&gt;0</formula>
    </cfRule>
  </conditionalFormatting>
  <conditionalFormatting sqref="D8">
    <cfRule type="cellIs" dxfId="67" priority="67" stopIfTrue="1" operator="equal">
      <formula>""""""</formula>
    </cfRule>
  </conditionalFormatting>
  <conditionalFormatting sqref="N40">
    <cfRule type="expression" dxfId="66" priority="70" stopIfTrue="1">
      <formula>#REF!&gt;0</formula>
    </cfRule>
  </conditionalFormatting>
  <conditionalFormatting sqref="N1 D6 H6 M6 D8 D10 D12 D13 D14 H13 H14 N10 N12 N19 H13">
    <cfRule type="containsBlanks" dxfId="65" priority="73" stopIfTrue="1">
      <formula>LEN(TRIM(D1))=0</formula>
    </cfRule>
  </conditionalFormatting>
  <conditionalFormatting sqref="N81:N98">
    <cfRule type="expression" dxfId="64" priority="54" stopIfTrue="1">
      <formula>$X80&gt;0</formula>
    </cfRule>
  </conditionalFormatting>
  <conditionalFormatting sqref="D66">
    <cfRule type="cellIs" dxfId="63" priority="55" stopIfTrue="1" operator="equal">
      <formula>""""""</formula>
    </cfRule>
  </conditionalFormatting>
  <conditionalFormatting sqref="N99">
    <cfRule type="expression" dxfId="62" priority="56" stopIfTrue="1">
      <formula>#REF!&gt;0</formula>
    </cfRule>
  </conditionalFormatting>
  <conditionalFormatting sqref="D64 D66 D68 D70:D72 H71:H72 N77">
    <cfRule type="containsBlanks" dxfId="61" priority="57" stopIfTrue="1">
      <formula>LEN(TRIM(D64))=0</formula>
    </cfRule>
  </conditionalFormatting>
  <conditionalFormatting sqref="N140:N157">
    <cfRule type="expression" dxfId="60" priority="50" stopIfTrue="1">
      <formula>$X139&gt;0</formula>
    </cfRule>
  </conditionalFormatting>
  <conditionalFormatting sqref="D125">
    <cfRule type="cellIs" dxfId="59" priority="51" stopIfTrue="1" operator="equal">
      <formula>""""""</formula>
    </cfRule>
  </conditionalFormatting>
  <conditionalFormatting sqref="N158">
    <cfRule type="expression" dxfId="58" priority="52" stopIfTrue="1">
      <formula>#REF!&gt;0</formula>
    </cfRule>
  </conditionalFormatting>
  <conditionalFormatting sqref="D123 H123 M123 D125 D127 D129:D131 H130:H131 N136">
    <cfRule type="containsBlanks" dxfId="57" priority="53" stopIfTrue="1">
      <formula>LEN(TRIM(D123))=0</formula>
    </cfRule>
  </conditionalFormatting>
  <conditionalFormatting sqref="N198:N215">
    <cfRule type="expression" dxfId="56" priority="46" stopIfTrue="1">
      <formula>$X197&gt;0</formula>
    </cfRule>
  </conditionalFormatting>
  <conditionalFormatting sqref="D183">
    <cfRule type="cellIs" dxfId="55" priority="47" stopIfTrue="1" operator="equal">
      <formula>""""""</formula>
    </cfRule>
  </conditionalFormatting>
  <conditionalFormatting sqref="N216">
    <cfRule type="expression" dxfId="54" priority="48" stopIfTrue="1">
      <formula>#REF!&gt;0</formula>
    </cfRule>
  </conditionalFormatting>
  <conditionalFormatting sqref="D181 H181 M181 D183 D185 D187:D189 H188:H189 N194">
    <cfRule type="containsBlanks" dxfId="53" priority="49" stopIfTrue="1">
      <formula>LEN(TRIM(D181))=0</formula>
    </cfRule>
  </conditionalFormatting>
  <conditionalFormatting sqref="N256:N273">
    <cfRule type="expression" dxfId="52" priority="42" stopIfTrue="1">
      <formula>$X255&gt;0</formula>
    </cfRule>
  </conditionalFormatting>
  <conditionalFormatting sqref="D241">
    <cfRule type="cellIs" dxfId="51" priority="43" stopIfTrue="1" operator="equal">
      <formula>""""""</formula>
    </cfRule>
  </conditionalFormatting>
  <conditionalFormatting sqref="N274">
    <cfRule type="expression" dxfId="50" priority="44" stopIfTrue="1">
      <formula>#REF!&gt;0</formula>
    </cfRule>
  </conditionalFormatting>
  <conditionalFormatting sqref="D239 H239 M239 D241 D243 D245:D247 H246:H247 N252">
    <cfRule type="containsBlanks" dxfId="49" priority="45" stopIfTrue="1">
      <formula>LEN(TRIM(D239))=0</formula>
    </cfRule>
  </conditionalFormatting>
  <conditionalFormatting sqref="N314:N331">
    <cfRule type="expression" dxfId="48" priority="38" stopIfTrue="1">
      <formula>$X313&gt;0</formula>
    </cfRule>
  </conditionalFormatting>
  <conditionalFormatting sqref="D299">
    <cfRule type="cellIs" dxfId="47" priority="39" stopIfTrue="1" operator="equal">
      <formula>""""""</formula>
    </cfRule>
  </conditionalFormatting>
  <conditionalFormatting sqref="N332">
    <cfRule type="expression" dxfId="46" priority="40" stopIfTrue="1">
      <formula>#REF!&gt;0</formula>
    </cfRule>
  </conditionalFormatting>
  <conditionalFormatting sqref="D297 H297 M297 D299 D301 D303:D305 H304:H305 N310">
    <cfRule type="containsBlanks" dxfId="45" priority="41" stopIfTrue="1">
      <formula>LEN(TRIM(D297))=0</formula>
    </cfRule>
  </conditionalFormatting>
  <conditionalFormatting sqref="N372:N389">
    <cfRule type="expression" dxfId="44" priority="34" stopIfTrue="1">
      <formula>$X371&gt;0</formula>
    </cfRule>
  </conditionalFormatting>
  <conditionalFormatting sqref="D357">
    <cfRule type="cellIs" dxfId="43" priority="35" stopIfTrue="1" operator="equal">
      <formula>""""""</formula>
    </cfRule>
  </conditionalFormatting>
  <conditionalFormatting sqref="N390">
    <cfRule type="expression" dxfId="42" priority="36" stopIfTrue="1">
      <formula>#REF!&gt;0</formula>
    </cfRule>
  </conditionalFormatting>
  <conditionalFormatting sqref="D355 H355 M355 D357 D359 D361:D363 H362:H363 N368">
    <cfRule type="containsBlanks" dxfId="41" priority="37" stopIfTrue="1">
      <formula>LEN(TRIM(D355))=0</formula>
    </cfRule>
  </conditionalFormatting>
  <conditionalFormatting sqref="N359 N361">
    <cfRule type="containsBlanks" dxfId="40" priority="26" stopIfTrue="1">
      <formula>LEN(TRIM(N359))=0</formula>
    </cfRule>
  </conditionalFormatting>
  <conditionalFormatting sqref="N68 N70">
    <cfRule type="containsBlanks" dxfId="39" priority="31" stopIfTrue="1">
      <formula>LEN(TRIM(N68))=0</formula>
    </cfRule>
  </conditionalFormatting>
  <conditionalFormatting sqref="N127 N129">
    <cfRule type="containsBlanks" dxfId="38" priority="30" stopIfTrue="1">
      <formula>LEN(TRIM(N127))=0</formula>
    </cfRule>
  </conditionalFormatting>
  <conditionalFormatting sqref="N185 N187">
    <cfRule type="containsBlanks" dxfId="37" priority="29" stopIfTrue="1">
      <formula>LEN(TRIM(N185))=0</formula>
    </cfRule>
  </conditionalFormatting>
  <conditionalFormatting sqref="N243 N245">
    <cfRule type="containsBlanks" dxfId="36" priority="28" stopIfTrue="1">
      <formula>LEN(TRIM(N243))=0</formula>
    </cfRule>
  </conditionalFormatting>
  <conditionalFormatting sqref="N301 N303">
    <cfRule type="containsBlanks" dxfId="35" priority="27" stopIfTrue="1">
      <formula>LEN(TRIM(N301))=0</formula>
    </cfRule>
  </conditionalFormatting>
  <conditionalFormatting sqref="N18">
    <cfRule type="containsBlanks" dxfId="34" priority="25" stopIfTrue="1">
      <formula>LEN(TRIM(N18))=0</formula>
    </cfRule>
  </conditionalFormatting>
  <conditionalFormatting sqref="N76">
    <cfRule type="containsBlanks" dxfId="33" priority="23" stopIfTrue="1">
      <formula>LEN(TRIM(N76))=0</formula>
    </cfRule>
  </conditionalFormatting>
  <conditionalFormatting sqref="N135">
    <cfRule type="containsBlanks" dxfId="32" priority="22" stopIfTrue="1">
      <formula>LEN(TRIM(N135))=0</formula>
    </cfRule>
  </conditionalFormatting>
  <conditionalFormatting sqref="N193">
    <cfRule type="containsBlanks" dxfId="31" priority="21" stopIfTrue="1">
      <formula>LEN(TRIM(N193))=0</formula>
    </cfRule>
  </conditionalFormatting>
  <conditionalFormatting sqref="N251">
    <cfRule type="containsBlanks" dxfId="30" priority="20" stopIfTrue="1">
      <formula>LEN(TRIM(N251))=0</formula>
    </cfRule>
  </conditionalFormatting>
  <conditionalFormatting sqref="N309">
    <cfRule type="containsBlanks" dxfId="29" priority="19" stopIfTrue="1">
      <formula>LEN(TRIM(N309))=0</formula>
    </cfRule>
  </conditionalFormatting>
  <conditionalFormatting sqref="N367">
    <cfRule type="containsBlanks" dxfId="28" priority="18" stopIfTrue="1">
      <formula>LEN(TRIM(N367))=0</formula>
    </cfRule>
  </conditionalFormatting>
  <conditionalFormatting sqref="N56">
    <cfRule type="cellIs" dxfId="27" priority="17" operator="greaterThan">
      <formula>$T$16</formula>
    </cfRule>
  </conditionalFormatting>
  <conditionalFormatting sqref="H64">
    <cfRule type="containsBlanks" dxfId="26" priority="8" stopIfTrue="1">
      <formula>LEN(TRIM(H64))=0</formula>
    </cfRule>
  </conditionalFormatting>
  <conditionalFormatting sqref="M64">
    <cfRule type="containsBlanks" dxfId="25" priority="7" stopIfTrue="1">
      <formula>LEN(TRIM(M64))=0</formula>
    </cfRule>
  </conditionalFormatting>
  <conditionalFormatting sqref="N59">
    <cfRule type="containsBlanks" dxfId="24" priority="6" stopIfTrue="1">
      <formula>LEN(TRIM(N59))=0</formula>
    </cfRule>
  </conditionalFormatting>
  <conditionalFormatting sqref="N118">
    <cfRule type="containsBlanks" dxfId="23" priority="5" stopIfTrue="1">
      <formula>LEN(TRIM(N118))=0</formula>
    </cfRule>
  </conditionalFormatting>
  <conditionalFormatting sqref="N176">
    <cfRule type="containsBlanks" dxfId="22" priority="4" stopIfTrue="1">
      <formula>LEN(TRIM(N176))=0</formula>
    </cfRule>
  </conditionalFormatting>
  <conditionalFormatting sqref="N234">
    <cfRule type="containsBlanks" dxfId="21" priority="3" stopIfTrue="1">
      <formula>LEN(TRIM(N234))=0</formula>
    </cfRule>
  </conditionalFormatting>
  <conditionalFormatting sqref="N292">
    <cfRule type="containsBlanks" dxfId="20" priority="2" stopIfTrue="1">
      <formula>LEN(TRIM(N292))=0</formula>
    </cfRule>
  </conditionalFormatting>
  <conditionalFormatting sqref="N350">
    <cfRule type="containsBlanks" dxfId="19" priority="1" stopIfTrue="1">
      <formula>LEN(TRIM(N350))=0</formula>
    </cfRule>
  </conditionalFormatting>
  <conditionalFormatting sqref="N25">
    <cfRule type="expression" dxfId="18" priority="75" stopIfTrue="1">
      <formula>#REF!&gt;0</formula>
    </cfRule>
  </conditionalFormatting>
  <dataValidations count="8">
    <dataValidation type="list" allowBlank="1" showInputMessage="1" showErrorMessage="1" sqref="N10 N301 N68 N127 N185 N243 N359">
      <formula1>$AB$5:$AB$6</formula1>
    </dataValidation>
    <dataValidation type="list" allowBlank="1" showInputMessage="1" showErrorMessage="1" sqref="D10 D68 D127 D185 D243 D301 D359">
      <formula1>$Y$5:$Y$8</formula1>
    </dataValidation>
    <dataValidation type="list" allowBlank="1" showInputMessage="1" showErrorMessage="1" sqref="D6 D64 D123 D181 D239 D297 D355">
      <formula1>$U$5:$U$8</formula1>
    </dataValidation>
    <dataValidation type="list" allowBlank="1" showInputMessage="1" showErrorMessage="1" sqref="D12 D70 D129 D187 D245 D303 D361">
      <formula1>$AA$5:$AA$8</formula1>
    </dataValidation>
    <dataValidation type="list" allowBlank="1" showInputMessage="1" showErrorMessage="1" sqref="D8 D66 D125 D183 D241 D299 D357">
      <formula1>$W$5:$W$7</formula1>
    </dataValidation>
    <dataValidation type="list" allowBlank="1" showInputMessage="1" showErrorMessage="1" sqref="H81:I107 H140:I166 H198:I224 H256:I282 H314:I340 H372:I398 H23:I48">
      <formula1>$AC$5:$AC$9</formula1>
    </dataValidation>
    <dataValidation type="list" allowBlank="1" showInputMessage="1" showErrorMessage="1" sqref="N8 N66 N125 N183 N241 N299 N357">
      <formula1>$AD$5:$AD$7</formula1>
    </dataValidation>
    <dataValidation type="list" allowBlank="1" showInputMessage="1" showErrorMessage="1" sqref="N11 N69 N128 N186 N244 N302 N360">
      <formula1>$AE$5:$AE$9</formula1>
    </dataValidation>
  </dataValidations>
  <pageMargins left="0.7" right="0.7" top="0.75" bottom="0.75" header="0.3" footer="0.3"/>
  <pageSetup scale="61" orientation="portrait" r:id="rId1"/>
  <rowBreaks count="6" manualBreakCount="6">
    <brk id="57" max="13" man="1"/>
    <brk id="116" max="13" man="1"/>
    <brk id="175" max="13" man="1"/>
    <brk id="233" max="13" man="1"/>
    <brk id="291" max="13" man="1"/>
    <brk id="349" max="13" man="1"/>
  </rowBreaks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1"/>
  <sheetViews>
    <sheetView tabSelected="1" topLeftCell="A55" zoomScale="85" zoomScaleNormal="85" zoomScalePageLayoutView="55" workbookViewId="0">
      <selection activeCell="AH62" sqref="AH62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570312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217</v>
      </c>
    </row>
    <row r="2" spans="1:31" ht="18" x14ac:dyDescent="0.25">
      <c r="A2" s="260" t="s">
        <v>62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31" ht="18" x14ac:dyDescent="0.25">
      <c r="A3" s="199"/>
      <c r="B3" s="199"/>
      <c r="C3" s="199"/>
      <c r="D3" s="199"/>
      <c r="E3" s="199"/>
      <c r="F3" s="22" t="str">
        <f>+CDV_PROY_BT!F3</f>
        <v xml:space="preserve">   JEFATURA DE PLANIFICACION</v>
      </c>
      <c r="G3" s="199"/>
      <c r="H3" s="199"/>
      <c r="I3" s="199"/>
      <c r="J3" s="199"/>
      <c r="K3" s="199"/>
      <c r="L3" s="199"/>
      <c r="M3" s="199"/>
      <c r="N3" s="87"/>
    </row>
    <row r="4" spans="1:31" ht="15.75" x14ac:dyDescent="0.25">
      <c r="A4" s="261" t="s">
        <v>173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160</v>
      </c>
      <c r="AE4" s="138" t="s">
        <v>166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161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9" t="s">
        <v>67</v>
      </c>
      <c r="E6" s="251"/>
      <c r="F6" s="284" t="s">
        <v>179</v>
      </c>
      <c r="G6" s="285"/>
      <c r="H6" s="264" t="s">
        <v>91</v>
      </c>
      <c r="I6" s="265"/>
      <c r="J6" s="266"/>
      <c r="K6" s="267" t="s">
        <v>81</v>
      </c>
      <c r="L6" s="268"/>
      <c r="M6" s="269" t="s">
        <v>205</v>
      </c>
      <c r="N6" s="270"/>
      <c r="Q6" s="198"/>
      <c r="R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162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163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9" t="s">
        <v>83</v>
      </c>
      <c r="E8" s="250"/>
      <c r="F8" s="251"/>
      <c r="G8" s="25"/>
      <c r="H8" s="29"/>
      <c r="I8" s="29"/>
      <c r="J8" s="26"/>
      <c r="K8" s="26"/>
      <c r="L8" s="26"/>
      <c r="M8" s="26"/>
      <c r="N8" s="212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8"/>
      <c r="M9" s="23"/>
      <c r="N9" s="213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2" t="s">
        <v>9</v>
      </c>
      <c r="E10" s="286"/>
      <c r="F10" s="286"/>
      <c r="G10" s="253"/>
      <c r="H10" s="18"/>
      <c r="I10" s="18"/>
      <c r="J10" s="18"/>
      <c r="K10" s="23"/>
      <c r="L10" s="223" t="s">
        <v>175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172</v>
      </c>
      <c r="L11" s="29"/>
      <c r="M11" s="220"/>
      <c r="N11" s="209" t="str">
        <f>IF(N10="","",IF(N10="3F","13.8 KV","7.6 kV"))</f>
        <v>7.6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174</v>
      </c>
      <c r="B12" s="37"/>
      <c r="C12" s="37"/>
      <c r="D12" s="150">
        <v>4</v>
      </c>
      <c r="E12" s="38"/>
      <c r="F12" s="39"/>
      <c r="G12" s="39"/>
      <c r="H12" s="39"/>
      <c r="I12" s="39"/>
      <c r="J12" s="37"/>
      <c r="K12" s="25" t="s">
        <v>176</v>
      </c>
      <c r="L12" s="26"/>
      <c r="M12" s="221"/>
      <c r="N12" s="222">
        <v>40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5</v>
      </c>
      <c r="E13" s="21"/>
      <c r="F13" s="28"/>
      <c r="G13" s="42" t="s">
        <v>32</v>
      </c>
      <c r="H13" s="275" t="str">
        <f>+CDV_PROY_BT!H13</f>
        <v>Jefatura de Planificación</v>
      </c>
      <c r="I13" s="276"/>
      <c r="J13" s="294"/>
      <c r="K13" s="216"/>
      <c r="L13" s="21"/>
      <c r="M13" s="214"/>
      <c r="N13" s="217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f>90*5</f>
        <v>450</v>
      </c>
      <c r="E14" s="41"/>
      <c r="F14" s="28"/>
      <c r="G14" s="42" t="s">
        <v>35</v>
      </c>
      <c r="H14" s="295">
        <v>43598</v>
      </c>
      <c r="I14" s="296"/>
      <c r="J14" s="297"/>
      <c r="K14" s="41"/>
      <c r="L14" s="21"/>
      <c r="M14" s="214"/>
      <c r="N14" s="218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8"/>
      <c r="B15" s="259"/>
      <c r="C15" s="259"/>
      <c r="D15" s="259"/>
      <c r="E15" s="259"/>
      <c r="F15" s="259"/>
      <c r="G15" s="259"/>
      <c r="H15" s="259"/>
      <c r="I15" s="259"/>
      <c r="J15" s="259"/>
      <c r="K15" s="44"/>
      <c r="L15" s="34"/>
      <c r="M15" s="215"/>
      <c r="N15" s="219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180</v>
      </c>
      <c r="L18" s="21"/>
      <c r="M18" s="21"/>
      <c r="N18" s="163"/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178</v>
      </c>
      <c r="M19" s="142"/>
      <c r="N19" s="163" t="s">
        <v>209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4" t="s">
        <v>38</v>
      </c>
      <c r="B21" s="245"/>
      <c r="C21" s="292" t="s">
        <v>39</v>
      </c>
      <c r="D21" s="293"/>
      <c r="E21" s="287" t="s">
        <v>42</v>
      </c>
      <c r="F21" s="288"/>
      <c r="G21" s="244" t="s">
        <v>43</v>
      </c>
      <c r="H21" s="246"/>
      <c r="I21" s="246"/>
      <c r="J21" s="245"/>
      <c r="K21" s="247" t="s">
        <v>181</v>
      </c>
      <c r="L21" s="246" t="s">
        <v>45</v>
      </c>
      <c r="M21" s="246"/>
      <c r="N21" s="245"/>
      <c r="U21" s="236" t="s">
        <v>98</v>
      </c>
      <c r="V21" s="236" t="s">
        <v>99</v>
      </c>
    </row>
    <row r="22" spans="1:24" ht="15.75" thickBot="1" x14ac:dyDescent="0.3">
      <c r="A22" s="52" t="s">
        <v>46</v>
      </c>
      <c r="B22" s="52" t="s">
        <v>47</v>
      </c>
      <c r="C22" s="289" t="s">
        <v>48</v>
      </c>
      <c r="D22" s="290"/>
      <c r="E22" s="289" t="s">
        <v>177</v>
      </c>
      <c r="F22" s="290"/>
      <c r="G22" s="56" t="s">
        <v>52</v>
      </c>
      <c r="H22" s="43" t="s">
        <v>105</v>
      </c>
      <c r="I22" s="124" t="s">
        <v>106</v>
      </c>
      <c r="J22" s="43" t="s">
        <v>53</v>
      </c>
      <c r="K22" s="248"/>
      <c r="L22" s="53" t="s">
        <v>54</v>
      </c>
      <c r="M22" s="43" t="s">
        <v>55</v>
      </c>
      <c r="N22" s="57" t="s">
        <v>56</v>
      </c>
      <c r="P22" s="274" t="s">
        <v>192</v>
      </c>
      <c r="Q22" s="274"/>
      <c r="R22" s="274"/>
      <c r="U22" s="236"/>
      <c r="V22" s="236"/>
    </row>
    <row r="23" spans="1:24" x14ac:dyDescent="0.25">
      <c r="A23" s="191" t="s">
        <v>209</v>
      </c>
      <c r="B23" s="164" t="s">
        <v>210</v>
      </c>
      <c r="C23" s="283">
        <v>114</v>
      </c>
      <c r="D23" s="283"/>
      <c r="E23" s="298">
        <v>40</v>
      </c>
      <c r="F23" s="299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5</v>
      </c>
      <c r="L23" s="61">
        <f t="shared" ref="L23:L49" si="1">IF($N$19="","",IF(C23="","",ROUND(K23/J23,2)))</f>
        <v>0.02</v>
      </c>
      <c r="M23" s="61">
        <f>IF(C23="","",VLOOKUP(A23,$B$23:$N$50,12,FALSE)+L23+N18)</f>
        <v>0.02</v>
      </c>
      <c r="N23" s="154"/>
      <c r="P23" s="271" t="s">
        <v>190</v>
      </c>
      <c r="Q23" s="224" t="s">
        <v>188</v>
      </c>
      <c r="R23" s="226">
        <v>3</v>
      </c>
      <c r="U23" s="138">
        <f t="shared" ref="U23:U50" si="2">+IF(C23="",0,C23)</f>
        <v>114</v>
      </c>
      <c r="V23" s="138">
        <f t="shared" ref="V23:V50" si="3">IF(OR(C23="",G23=""),0,C23*G23)</f>
        <v>114</v>
      </c>
    </row>
    <row r="24" spans="1:24" x14ac:dyDescent="0.25">
      <c r="A24" s="167" t="s">
        <v>210</v>
      </c>
      <c r="B24" s="168" t="s">
        <v>131</v>
      </c>
      <c r="C24" s="277">
        <v>115</v>
      </c>
      <c r="D24" s="277"/>
      <c r="E24" s="278">
        <v>10</v>
      </c>
      <c r="F24" s="279"/>
      <c r="G24" s="59">
        <f t="shared" si="0"/>
        <v>1</v>
      </c>
      <c r="H24" s="183">
        <v>2</v>
      </c>
      <c r="I24" s="183">
        <v>2</v>
      </c>
      <c r="J24" s="59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>287</v>
      </c>
      <c r="K24" s="63">
        <f t="shared" ref="K24:K49" si="4">IF(C24="","",ROUND(E24*C24/1000,0))</f>
        <v>1</v>
      </c>
      <c r="L24" s="62">
        <f t="shared" si="1"/>
        <v>0</v>
      </c>
      <c r="M24" s="62">
        <f t="shared" ref="M24:M49" si="5">IF(C24="","",VLOOKUP(A24,$B$23:$N$50,12,FALSE)+L24)</f>
        <v>0.02</v>
      </c>
      <c r="N24" s="155"/>
      <c r="P24" s="271"/>
      <c r="Q24" s="224" t="s">
        <v>189</v>
      </c>
      <c r="R24" s="226">
        <v>5</v>
      </c>
      <c r="U24" s="138">
        <f t="shared" si="2"/>
        <v>115</v>
      </c>
      <c r="V24" s="138">
        <f t="shared" si="3"/>
        <v>115</v>
      </c>
    </row>
    <row r="25" spans="1:24" x14ac:dyDescent="0.25">
      <c r="A25" s="167" t="s">
        <v>131</v>
      </c>
      <c r="B25" s="168" t="s">
        <v>211</v>
      </c>
      <c r="C25" s="277">
        <v>115</v>
      </c>
      <c r="D25" s="277"/>
      <c r="E25" s="278">
        <v>10</v>
      </c>
      <c r="F25" s="279"/>
      <c r="G25" s="59">
        <f t="shared" si="0"/>
        <v>1</v>
      </c>
      <c r="H25" s="183">
        <v>2</v>
      </c>
      <c r="I25" s="183">
        <v>2</v>
      </c>
      <c r="J25" s="59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>287</v>
      </c>
      <c r="K25" s="63">
        <f t="shared" si="4"/>
        <v>1</v>
      </c>
      <c r="L25" s="62">
        <f t="shared" si="1"/>
        <v>0</v>
      </c>
      <c r="M25" s="62">
        <f t="shared" si="5"/>
        <v>0.02</v>
      </c>
      <c r="N25" s="155"/>
      <c r="P25" s="271" t="s">
        <v>191</v>
      </c>
      <c r="Q25" s="224" t="s">
        <v>188</v>
      </c>
      <c r="R25" s="226">
        <v>3</v>
      </c>
      <c r="U25" s="138">
        <f t="shared" si="2"/>
        <v>115</v>
      </c>
      <c r="V25" s="138">
        <f t="shared" si="3"/>
        <v>115</v>
      </c>
    </row>
    <row r="26" spans="1:24" x14ac:dyDescent="0.25">
      <c r="A26" s="167" t="s">
        <v>211</v>
      </c>
      <c r="B26" s="168" t="s">
        <v>130</v>
      </c>
      <c r="C26" s="277">
        <v>115</v>
      </c>
      <c r="D26" s="277"/>
      <c r="E26" s="278">
        <v>10</v>
      </c>
      <c r="F26" s="279"/>
      <c r="G26" s="59">
        <f t="shared" si="0"/>
        <v>1</v>
      </c>
      <c r="H26" s="183">
        <v>2</v>
      </c>
      <c r="I26" s="183">
        <v>2</v>
      </c>
      <c r="J26" s="59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>287</v>
      </c>
      <c r="K26" s="63">
        <f t="shared" si="4"/>
        <v>1</v>
      </c>
      <c r="L26" s="62">
        <f t="shared" si="1"/>
        <v>0</v>
      </c>
      <c r="M26" s="62">
        <f t="shared" si="5"/>
        <v>0.02</v>
      </c>
      <c r="N26" s="155"/>
      <c r="P26" s="271"/>
      <c r="Q26" s="224" t="s">
        <v>189</v>
      </c>
      <c r="R26" s="226">
        <v>5</v>
      </c>
      <c r="U26" s="138">
        <f t="shared" si="2"/>
        <v>115</v>
      </c>
      <c r="V26" s="138">
        <f t="shared" si="3"/>
        <v>115</v>
      </c>
    </row>
    <row r="27" spans="1:24" x14ac:dyDescent="0.25">
      <c r="A27" s="167" t="s">
        <v>130</v>
      </c>
      <c r="B27" s="168" t="s">
        <v>133</v>
      </c>
      <c r="C27" s="277">
        <v>90</v>
      </c>
      <c r="D27" s="277"/>
      <c r="E27" s="278">
        <v>10</v>
      </c>
      <c r="F27" s="279"/>
      <c r="G27" s="59">
        <f t="shared" si="0"/>
        <v>1</v>
      </c>
      <c r="H27" s="183">
        <v>2</v>
      </c>
      <c r="I27" s="183">
        <v>2</v>
      </c>
      <c r="J27" s="59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>287</v>
      </c>
      <c r="K27" s="63">
        <f t="shared" si="4"/>
        <v>1</v>
      </c>
      <c r="L27" s="62">
        <f t="shared" si="1"/>
        <v>0</v>
      </c>
      <c r="M27" s="62">
        <f t="shared" si="5"/>
        <v>0.02</v>
      </c>
      <c r="N27" s="155"/>
      <c r="U27" s="138">
        <f t="shared" si="2"/>
        <v>90</v>
      </c>
      <c r="V27" s="138">
        <f t="shared" si="3"/>
        <v>90</v>
      </c>
    </row>
    <row r="28" spans="1:24" x14ac:dyDescent="0.25">
      <c r="A28" s="167" t="s">
        <v>133</v>
      </c>
      <c r="B28" s="168" t="s">
        <v>201</v>
      </c>
      <c r="C28" s="277">
        <v>88</v>
      </c>
      <c r="D28" s="277"/>
      <c r="E28" s="278">
        <v>10</v>
      </c>
      <c r="F28" s="279"/>
      <c r="G28" s="59">
        <f t="shared" si="0"/>
        <v>1</v>
      </c>
      <c r="H28" s="183">
        <v>2</v>
      </c>
      <c r="I28" s="183">
        <v>2</v>
      </c>
      <c r="J28" s="59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>287</v>
      </c>
      <c r="K28" s="63">
        <f t="shared" si="4"/>
        <v>1</v>
      </c>
      <c r="L28" s="62">
        <f t="shared" si="1"/>
        <v>0</v>
      </c>
      <c r="M28" s="62">
        <f t="shared" si="5"/>
        <v>0.02</v>
      </c>
      <c r="N28" s="155">
        <f>+M28</f>
        <v>0.02</v>
      </c>
      <c r="U28" s="138">
        <f t="shared" si="2"/>
        <v>88</v>
      </c>
      <c r="V28" s="138">
        <f t="shared" si="3"/>
        <v>88</v>
      </c>
    </row>
    <row r="29" spans="1:24" x14ac:dyDescent="0.25">
      <c r="A29" s="167" t="s">
        <v>210</v>
      </c>
      <c r="B29" s="168" t="s">
        <v>212</v>
      </c>
      <c r="C29" s="277">
        <v>112</v>
      </c>
      <c r="D29" s="277"/>
      <c r="E29" s="278">
        <v>30</v>
      </c>
      <c r="F29" s="279"/>
      <c r="G29" s="59">
        <f t="shared" si="0"/>
        <v>1</v>
      </c>
      <c r="H29" s="183">
        <v>2</v>
      </c>
      <c r="I29" s="183">
        <v>2</v>
      </c>
      <c r="J29" s="59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>287</v>
      </c>
      <c r="K29" s="63">
        <f t="shared" si="4"/>
        <v>3</v>
      </c>
      <c r="L29" s="62">
        <f t="shared" si="1"/>
        <v>0.01</v>
      </c>
      <c r="M29" s="62">
        <f t="shared" si="5"/>
        <v>0.03</v>
      </c>
      <c r="N29" s="155"/>
      <c r="U29" s="138">
        <f t="shared" si="2"/>
        <v>112</v>
      </c>
      <c r="V29" s="138">
        <f t="shared" si="3"/>
        <v>112</v>
      </c>
    </row>
    <row r="30" spans="1:24" x14ac:dyDescent="0.25">
      <c r="A30" s="167" t="s">
        <v>212</v>
      </c>
      <c r="B30" s="168" t="s">
        <v>146</v>
      </c>
      <c r="C30" s="277">
        <v>112</v>
      </c>
      <c r="D30" s="277"/>
      <c r="E30" s="278">
        <v>30</v>
      </c>
      <c r="F30" s="279"/>
      <c r="G30" s="59">
        <f t="shared" si="0"/>
        <v>1</v>
      </c>
      <c r="H30" s="183">
        <v>2</v>
      </c>
      <c r="I30" s="183">
        <v>2</v>
      </c>
      <c r="J30" s="59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>287</v>
      </c>
      <c r="K30" s="63">
        <f t="shared" si="4"/>
        <v>3</v>
      </c>
      <c r="L30" s="62">
        <f t="shared" si="1"/>
        <v>0.01</v>
      </c>
      <c r="M30" s="62">
        <f t="shared" si="5"/>
        <v>0.04</v>
      </c>
      <c r="N30" s="155"/>
      <c r="U30" s="138">
        <f t="shared" si="2"/>
        <v>112</v>
      </c>
      <c r="V30" s="138">
        <f t="shared" si="3"/>
        <v>112</v>
      </c>
    </row>
    <row r="31" spans="1:24" x14ac:dyDescent="0.25">
      <c r="A31" s="171" t="s">
        <v>146</v>
      </c>
      <c r="B31" s="172" t="s">
        <v>145</v>
      </c>
      <c r="C31" s="277">
        <v>111</v>
      </c>
      <c r="D31" s="277"/>
      <c r="E31" s="278">
        <v>30</v>
      </c>
      <c r="F31" s="279"/>
      <c r="G31" s="59">
        <f t="shared" si="0"/>
        <v>1</v>
      </c>
      <c r="H31" s="183">
        <v>2</v>
      </c>
      <c r="I31" s="183">
        <v>2</v>
      </c>
      <c r="J31" s="59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>287</v>
      </c>
      <c r="K31" s="63">
        <f t="shared" si="4"/>
        <v>3</v>
      </c>
      <c r="L31" s="62">
        <f t="shared" si="1"/>
        <v>0.01</v>
      </c>
      <c r="M31" s="62">
        <f t="shared" si="5"/>
        <v>0.05</v>
      </c>
      <c r="N31" s="155"/>
      <c r="U31" s="138">
        <f t="shared" si="2"/>
        <v>111</v>
      </c>
      <c r="V31" s="138">
        <f t="shared" si="3"/>
        <v>111</v>
      </c>
    </row>
    <row r="32" spans="1:24" x14ac:dyDescent="0.25">
      <c r="A32" s="167" t="s">
        <v>145</v>
      </c>
      <c r="B32" s="168" t="s">
        <v>184</v>
      </c>
      <c r="C32" s="277">
        <v>122</v>
      </c>
      <c r="D32" s="277"/>
      <c r="E32" s="278">
        <v>20</v>
      </c>
      <c r="F32" s="279"/>
      <c r="G32" s="59">
        <f t="shared" si="0"/>
        <v>1</v>
      </c>
      <c r="H32" s="183">
        <v>2</v>
      </c>
      <c r="I32" s="183">
        <v>2</v>
      </c>
      <c r="J32" s="59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>287</v>
      </c>
      <c r="K32" s="63">
        <f t="shared" si="4"/>
        <v>2</v>
      </c>
      <c r="L32" s="62">
        <f t="shared" si="1"/>
        <v>0.01</v>
      </c>
      <c r="M32" s="62">
        <f t="shared" si="5"/>
        <v>6.0000000000000005E-2</v>
      </c>
      <c r="N32" s="155"/>
      <c r="U32" s="138">
        <f t="shared" si="2"/>
        <v>122</v>
      </c>
      <c r="V32" s="138">
        <f t="shared" si="3"/>
        <v>122</v>
      </c>
    </row>
    <row r="33" spans="1:22" x14ac:dyDescent="0.25">
      <c r="A33" s="171" t="s">
        <v>184</v>
      </c>
      <c r="B33" s="172" t="s">
        <v>144</v>
      </c>
      <c r="C33" s="277">
        <v>122</v>
      </c>
      <c r="D33" s="277"/>
      <c r="E33" s="278">
        <v>20</v>
      </c>
      <c r="F33" s="279"/>
      <c r="G33" s="59">
        <f t="shared" si="0"/>
        <v>1</v>
      </c>
      <c r="H33" s="183">
        <v>2</v>
      </c>
      <c r="I33" s="183">
        <v>2</v>
      </c>
      <c r="J33" s="59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>287</v>
      </c>
      <c r="K33" s="63">
        <f t="shared" si="4"/>
        <v>2</v>
      </c>
      <c r="L33" s="62">
        <f t="shared" si="1"/>
        <v>0.01</v>
      </c>
      <c r="M33" s="62">
        <f t="shared" si="5"/>
        <v>7.0000000000000007E-2</v>
      </c>
      <c r="N33" s="155"/>
      <c r="U33" s="138">
        <f t="shared" si="2"/>
        <v>122</v>
      </c>
      <c r="V33" s="138">
        <f t="shared" si="3"/>
        <v>122</v>
      </c>
    </row>
    <row r="34" spans="1:22" x14ac:dyDescent="0.25">
      <c r="A34" s="167" t="s">
        <v>144</v>
      </c>
      <c r="B34" s="168" t="s">
        <v>147</v>
      </c>
      <c r="C34" s="277">
        <v>90</v>
      </c>
      <c r="D34" s="277"/>
      <c r="E34" s="278">
        <v>20</v>
      </c>
      <c r="F34" s="279"/>
      <c r="G34" s="59">
        <f t="shared" si="0"/>
        <v>1</v>
      </c>
      <c r="H34" s="183">
        <v>2</v>
      </c>
      <c r="I34" s="183">
        <v>2</v>
      </c>
      <c r="J34" s="59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>287</v>
      </c>
      <c r="K34" s="63">
        <f t="shared" si="4"/>
        <v>2</v>
      </c>
      <c r="L34" s="62">
        <f t="shared" si="1"/>
        <v>0.01</v>
      </c>
      <c r="M34" s="62">
        <f t="shared" si="5"/>
        <v>0.08</v>
      </c>
      <c r="N34" s="155"/>
      <c r="U34" s="138">
        <f t="shared" si="2"/>
        <v>90</v>
      </c>
      <c r="V34" s="138">
        <f t="shared" si="3"/>
        <v>90</v>
      </c>
    </row>
    <row r="35" spans="1:22" x14ac:dyDescent="0.25">
      <c r="A35" s="171" t="s">
        <v>147</v>
      </c>
      <c r="B35" s="172" t="s">
        <v>148</v>
      </c>
      <c r="C35" s="277">
        <v>90</v>
      </c>
      <c r="D35" s="277"/>
      <c r="E35" s="278">
        <v>20</v>
      </c>
      <c r="F35" s="279"/>
      <c r="G35" s="59">
        <f t="shared" si="0"/>
        <v>1</v>
      </c>
      <c r="H35" s="183">
        <v>2</v>
      </c>
      <c r="I35" s="183">
        <v>2</v>
      </c>
      <c r="J35" s="59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>287</v>
      </c>
      <c r="K35" s="63">
        <f t="shared" si="4"/>
        <v>2</v>
      </c>
      <c r="L35" s="62">
        <f t="shared" si="1"/>
        <v>0.01</v>
      </c>
      <c r="M35" s="62">
        <f t="shared" si="5"/>
        <v>0.09</v>
      </c>
      <c r="N35" s="155"/>
      <c r="U35" s="138">
        <f t="shared" si="2"/>
        <v>90</v>
      </c>
      <c r="V35" s="138">
        <f t="shared" si="3"/>
        <v>90</v>
      </c>
    </row>
    <row r="36" spans="1:22" x14ac:dyDescent="0.25">
      <c r="A36" s="167" t="s">
        <v>148</v>
      </c>
      <c r="B36" s="168" t="s">
        <v>202</v>
      </c>
      <c r="C36" s="277">
        <v>86</v>
      </c>
      <c r="D36" s="277"/>
      <c r="E36" s="278">
        <v>20</v>
      </c>
      <c r="F36" s="279"/>
      <c r="G36" s="59">
        <f t="shared" si="0"/>
        <v>1</v>
      </c>
      <c r="H36" s="183">
        <v>2</v>
      </c>
      <c r="I36" s="183">
        <v>2</v>
      </c>
      <c r="J36" s="59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>287</v>
      </c>
      <c r="K36" s="63">
        <f t="shared" si="4"/>
        <v>2</v>
      </c>
      <c r="L36" s="62">
        <f t="shared" si="1"/>
        <v>0.01</v>
      </c>
      <c r="M36" s="62">
        <f t="shared" si="5"/>
        <v>9.9999999999999992E-2</v>
      </c>
      <c r="N36" s="155"/>
      <c r="U36" s="138">
        <f t="shared" si="2"/>
        <v>86</v>
      </c>
      <c r="V36" s="138">
        <f t="shared" si="3"/>
        <v>86</v>
      </c>
    </row>
    <row r="37" spans="1:22" x14ac:dyDescent="0.25">
      <c r="A37" s="171" t="s">
        <v>202</v>
      </c>
      <c r="B37" s="172" t="s">
        <v>135</v>
      </c>
      <c r="C37" s="277">
        <v>122</v>
      </c>
      <c r="D37" s="277"/>
      <c r="E37" s="278">
        <v>10</v>
      </c>
      <c r="F37" s="279"/>
      <c r="G37" s="59">
        <f t="shared" si="0"/>
        <v>1</v>
      </c>
      <c r="H37" s="183">
        <v>2</v>
      </c>
      <c r="I37" s="183">
        <v>2</v>
      </c>
      <c r="J37" s="59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>287</v>
      </c>
      <c r="K37" s="63">
        <f t="shared" si="4"/>
        <v>1</v>
      </c>
      <c r="L37" s="62">
        <f t="shared" si="1"/>
        <v>0</v>
      </c>
      <c r="M37" s="62">
        <f t="shared" si="5"/>
        <v>9.9999999999999992E-2</v>
      </c>
      <c r="N37" s="155"/>
      <c r="U37" s="138">
        <f t="shared" si="2"/>
        <v>122</v>
      </c>
      <c r="V37" s="138">
        <f t="shared" si="3"/>
        <v>122</v>
      </c>
    </row>
    <row r="38" spans="1:22" x14ac:dyDescent="0.25">
      <c r="A38" s="167" t="s">
        <v>135</v>
      </c>
      <c r="B38" s="168" t="s">
        <v>140</v>
      </c>
      <c r="C38" s="277">
        <v>123</v>
      </c>
      <c r="D38" s="277"/>
      <c r="E38" s="278">
        <v>10</v>
      </c>
      <c r="F38" s="279"/>
      <c r="G38" s="59">
        <f t="shared" si="0"/>
        <v>1</v>
      </c>
      <c r="H38" s="183">
        <v>2</v>
      </c>
      <c r="I38" s="183">
        <v>2</v>
      </c>
      <c r="J38" s="59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>287</v>
      </c>
      <c r="K38" s="63">
        <f t="shared" si="4"/>
        <v>1</v>
      </c>
      <c r="L38" s="62">
        <f t="shared" si="1"/>
        <v>0</v>
      </c>
      <c r="M38" s="62">
        <f t="shared" si="5"/>
        <v>9.9999999999999992E-2</v>
      </c>
      <c r="N38" s="155"/>
      <c r="U38" s="138">
        <f t="shared" si="2"/>
        <v>123</v>
      </c>
      <c r="V38" s="138">
        <f t="shared" si="3"/>
        <v>123</v>
      </c>
    </row>
    <row r="39" spans="1:22" x14ac:dyDescent="0.25">
      <c r="A39" s="171" t="s">
        <v>140</v>
      </c>
      <c r="B39" s="172" t="s">
        <v>139</v>
      </c>
      <c r="C39" s="277">
        <v>106</v>
      </c>
      <c r="D39" s="277"/>
      <c r="E39" s="278">
        <v>10</v>
      </c>
      <c r="F39" s="279"/>
      <c r="G39" s="59">
        <f t="shared" si="0"/>
        <v>1</v>
      </c>
      <c r="H39" s="183">
        <v>2</v>
      </c>
      <c r="I39" s="183">
        <v>2</v>
      </c>
      <c r="J39" s="59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>287</v>
      </c>
      <c r="K39" s="63">
        <f t="shared" si="4"/>
        <v>1</v>
      </c>
      <c r="L39" s="62">
        <f t="shared" si="1"/>
        <v>0</v>
      </c>
      <c r="M39" s="62">
        <f t="shared" si="5"/>
        <v>9.9999999999999992E-2</v>
      </c>
      <c r="N39" s="155"/>
      <c r="U39" s="138">
        <f t="shared" si="2"/>
        <v>106</v>
      </c>
      <c r="V39" s="138">
        <f t="shared" si="3"/>
        <v>106</v>
      </c>
    </row>
    <row r="40" spans="1:22" x14ac:dyDescent="0.25">
      <c r="A40" s="167" t="s">
        <v>139</v>
      </c>
      <c r="B40" s="168" t="s">
        <v>141</v>
      </c>
      <c r="C40" s="277">
        <v>107</v>
      </c>
      <c r="D40" s="277"/>
      <c r="E40" s="278">
        <v>10</v>
      </c>
      <c r="F40" s="279"/>
      <c r="G40" s="59">
        <f t="shared" si="0"/>
        <v>1</v>
      </c>
      <c r="H40" s="183">
        <v>2</v>
      </c>
      <c r="I40" s="183">
        <v>2</v>
      </c>
      <c r="J40" s="59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>287</v>
      </c>
      <c r="K40" s="63">
        <f t="shared" si="4"/>
        <v>1</v>
      </c>
      <c r="L40" s="62">
        <f t="shared" si="1"/>
        <v>0</v>
      </c>
      <c r="M40" s="62">
        <f t="shared" si="5"/>
        <v>9.9999999999999992E-2</v>
      </c>
      <c r="N40" s="155"/>
      <c r="U40" s="138">
        <f t="shared" si="2"/>
        <v>107</v>
      </c>
      <c r="V40" s="138">
        <f t="shared" si="3"/>
        <v>107</v>
      </c>
    </row>
    <row r="41" spans="1:22" x14ac:dyDescent="0.25">
      <c r="A41" s="171" t="s">
        <v>141</v>
      </c>
      <c r="B41" s="172" t="s">
        <v>142</v>
      </c>
      <c r="C41" s="277">
        <v>118</v>
      </c>
      <c r="D41" s="277"/>
      <c r="E41" s="278">
        <v>10</v>
      </c>
      <c r="F41" s="279"/>
      <c r="G41" s="59">
        <f t="shared" si="0"/>
        <v>1</v>
      </c>
      <c r="H41" s="183">
        <v>2</v>
      </c>
      <c r="I41" s="183">
        <v>2</v>
      </c>
      <c r="J41" s="59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>287</v>
      </c>
      <c r="K41" s="63">
        <f t="shared" si="4"/>
        <v>1</v>
      </c>
      <c r="L41" s="62">
        <f t="shared" si="1"/>
        <v>0</v>
      </c>
      <c r="M41" s="62">
        <f t="shared" si="5"/>
        <v>9.9999999999999992E-2</v>
      </c>
      <c r="N41" s="155"/>
      <c r="U41" s="138">
        <f t="shared" si="2"/>
        <v>118</v>
      </c>
      <c r="V41" s="138">
        <f t="shared" si="3"/>
        <v>118</v>
      </c>
    </row>
    <row r="42" spans="1:22" x14ac:dyDescent="0.25">
      <c r="A42" s="167" t="s">
        <v>142</v>
      </c>
      <c r="B42" s="168" t="s">
        <v>153</v>
      </c>
      <c r="C42" s="277">
        <v>118</v>
      </c>
      <c r="D42" s="277"/>
      <c r="E42" s="278">
        <v>10</v>
      </c>
      <c r="F42" s="279"/>
      <c r="G42" s="59">
        <f t="shared" si="0"/>
        <v>1</v>
      </c>
      <c r="H42" s="183">
        <v>2</v>
      </c>
      <c r="I42" s="183">
        <v>2</v>
      </c>
      <c r="J42" s="59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>287</v>
      </c>
      <c r="K42" s="63">
        <f t="shared" si="4"/>
        <v>1</v>
      </c>
      <c r="L42" s="62">
        <f t="shared" si="1"/>
        <v>0</v>
      </c>
      <c r="M42" s="62">
        <f t="shared" si="5"/>
        <v>9.9999999999999992E-2</v>
      </c>
      <c r="N42" s="155"/>
      <c r="U42" s="138">
        <f t="shared" si="2"/>
        <v>118</v>
      </c>
      <c r="V42" s="138">
        <f t="shared" si="3"/>
        <v>118</v>
      </c>
    </row>
    <row r="43" spans="1:22" x14ac:dyDescent="0.25">
      <c r="A43" s="171" t="s">
        <v>153</v>
      </c>
      <c r="B43" s="172" t="s">
        <v>152</v>
      </c>
      <c r="C43" s="277">
        <v>117</v>
      </c>
      <c r="D43" s="277"/>
      <c r="E43" s="278">
        <v>10</v>
      </c>
      <c r="F43" s="279"/>
      <c r="G43" s="59">
        <f t="shared" si="0"/>
        <v>1</v>
      </c>
      <c r="H43" s="183">
        <v>2</v>
      </c>
      <c r="I43" s="183">
        <v>2</v>
      </c>
      <c r="J43" s="59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>287</v>
      </c>
      <c r="K43" s="63">
        <f t="shared" si="4"/>
        <v>1</v>
      </c>
      <c r="L43" s="62">
        <f t="shared" si="1"/>
        <v>0</v>
      </c>
      <c r="M43" s="62">
        <f t="shared" si="5"/>
        <v>9.9999999999999992E-2</v>
      </c>
      <c r="N43" s="155"/>
      <c r="U43" s="138">
        <f t="shared" si="2"/>
        <v>117</v>
      </c>
      <c r="V43" s="138">
        <f t="shared" si="3"/>
        <v>117</v>
      </c>
    </row>
    <row r="44" spans="1:22" x14ac:dyDescent="0.25">
      <c r="A44" s="167" t="s">
        <v>152</v>
      </c>
      <c r="B44" s="168" t="s">
        <v>149</v>
      </c>
      <c r="C44" s="277">
        <v>106</v>
      </c>
      <c r="D44" s="277"/>
      <c r="E44" s="278">
        <v>10</v>
      </c>
      <c r="F44" s="279"/>
      <c r="G44" s="59">
        <f t="shared" si="0"/>
        <v>1</v>
      </c>
      <c r="H44" s="183">
        <v>2</v>
      </c>
      <c r="I44" s="183">
        <v>2</v>
      </c>
      <c r="J44" s="59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>287</v>
      </c>
      <c r="K44" s="63">
        <f t="shared" si="4"/>
        <v>1</v>
      </c>
      <c r="L44" s="62">
        <f t="shared" si="1"/>
        <v>0</v>
      </c>
      <c r="M44" s="62">
        <f t="shared" si="5"/>
        <v>9.9999999999999992E-2</v>
      </c>
      <c r="N44" s="155"/>
      <c r="U44" s="138">
        <f t="shared" si="2"/>
        <v>106</v>
      </c>
      <c r="V44" s="138">
        <f t="shared" si="3"/>
        <v>106</v>
      </c>
    </row>
    <row r="45" spans="1:22" x14ac:dyDescent="0.25">
      <c r="A45" s="171" t="s">
        <v>149</v>
      </c>
      <c r="B45" s="172" t="s">
        <v>150</v>
      </c>
      <c r="C45" s="277">
        <v>106</v>
      </c>
      <c r="D45" s="277"/>
      <c r="E45" s="278">
        <v>10</v>
      </c>
      <c r="F45" s="279"/>
      <c r="G45" s="59">
        <f t="shared" si="0"/>
        <v>1</v>
      </c>
      <c r="H45" s="183">
        <v>2</v>
      </c>
      <c r="I45" s="183">
        <v>2</v>
      </c>
      <c r="J45" s="59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>287</v>
      </c>
      <c r="K45" s="63">
        <f t="shared" si="4"/>
        <v>1</v>
      </c>
      <c r="L45" s="62">
        <f t="shared" si="1"/>
        <v>0</v>
      </c>
      <c r="M45" s="62">
        <f t="shared" si="5"/>
        <v>9.9999999999999992E-2</v>
      </c>
      <c r="N45" s="155"/>
      <c r="U45" s="138">
        <f t="shared" si="2"/>
        <v>106</v>
      </c>
      <c r="V45" s="138">
        <f t="shared" si="3"/>
        <v>106</v>
      </c>
    </row>
    <row r="46" spans="1:22" x14ac:dyDescent="0.25">
      <c r="A46" s="167" t="s">
        <v>150</v>
      </c>
      <c r="B46" s="168" t="s">
        <v>151</v>
      </c>
      <c r="C46" s="277">
        <v>105</v>
      </c>
      <c r="D46" s="277"/>
      <c r="E46" s="278">
        <v>10</v>
      </c>
      <c r="F46" s="279"/>
      <c r="G46" s="59">
        <f t="shared" si="0"/>
        <v>1</v>
      </c>
      <c r="H46" s="183">
        <v>2</v>
      </c>
      <c r="I46" s="183">
        <v>2</v>
      </c>
      <c r="J46" s="59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>287</v>
      </c>
      <c r="K46" s="63">
        <f t="shared" si="4"/>
        <v>1</v>
      </c>
      <c r="L46" s="62">
        <f t="shared" si="1"/>
        <v>0</v>
      </c>
      <c r="M46" s="62">
        <f t="shared" si="5"/>
        <v>9.9999999999999992E-2</v>
      </c>
      <c r="N46" s="155"/>
      <c r="U46" s="138">
        <f t="shared" si="2"/>
        <v>105</v>
      </c>
      <c r="V46" s="138">
        <f t="shared" si="3"/>
        <v>105</v>
      </c>
    </row>
    <row r="47" spans="1:22" x14ac:dyDescent="0.25">
      <c r="A47" s="171" t="s">
        <v>151</v>
      </c>
      <c r="B47" s="172" t="s">
        <v>155</v>
      </c>
      <c r="C47" s="277">
        <v>107</v>
      </c>
      <c r="D47" s="277"/>
      <c r="E47" s="278">
        <v>10</v>
      </c>
      <c r="F47" s="279"/>
      <c r="G47" s="59">
        <f t="shared" si="0"/>
        <v>1</v>
      </c>
      <c r="H47" s="183">
        <v>2</v>
      </c>
      <c r="I47" s="183">
        <v>2</v>
      </c>
      <c r="J47" s="59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>287</v>
      </c>
      <c r="K47" s="63">
        <f t="shared" si="4"/>
        <v>1</v>
      </c>
      <c r="L47" s="62">
        <f t="shared" si="1"/>
        <v>0</v>
      </c>
      <c r="M47" s="62">
        <f t="shared" si="5"/>
        <v>9.9999999999999992E-2</v>
      </c>
      <c r="N47" s="155"/>
      <c r="U47" s="138">
        <f t="shared" si="2"/>
        <v>107</v>
      </c>
      <c r="V47" s="138">
        <f t="shared" si="3"/>
        <v>107</v>
      </c>
    </row>
    <row r="48" spans="1:22" x14ac:dyDescent="0.25">
      <c r="A48" s="167" t="s">
        <v>155</v>
      </c>
      <c r="B48" s="168" t="s">
        <v>154</v>
      </c>
      <c r="C48" s="277">
        <v>107</v>
      </c>
      <c r="D48" s="277"/>
      <c r="E48" s="278">
        <v>10</v>
      </c>
      <c r="F48" s="279"/>
      <c r="G48" s="59">
        <f t="shared" si="0"/>
        <v>1</v>
      </c>
      <c r="H48" s="183">
        <v>2</v>
      </c>
      <c r="I48" s="183">
        <v>2</v>
      </c>
      <c r="J48" s="59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>287</v>
      </c>
      <c r="K48" s="63">
        <f t="shared" si="4"/>
        <v>1</v>
      </c>
      <c r="L48" s="62">
        <f t="shared" si="1"/>
        <v>0</v>
      </c>
      <c r="M48" s="62">
        <f t="shared" si="5"/>
        <v>9.9999999999999992E-2</v>
      </c>
      <c r="N48" s="156"/>
      <c r="U48" s="138">
        <f t="shared" si="2"/>
        <v>107</v>
      </c>
      <c r="V48" s="138">
        <f t="shared" si="3"/>
        <v>107</v>
      </c>
    </row>
    <row r="49" spans="1:31" ht="15.75" thickBot="1" x14ac:dyDescent="0.3">
      <c r="A49" s="178" t="s">
        <v>154</v>
      </c>
      <c r="B49" s="179" t="s">
        <v>213</v>
      </c>
      <c r="C49" s="280">
        <v>107</v>
      </c>
      <c r="D49" s="280"/>
      <c r="E49" s="281">
        <v>10</v>
      </c>
      <c r="F49" s="282"/>
      <c r="G49" s="69">
        <f t="shared" si="0"/>
        <v>1</v>
      </c>
      <c r="H49" s="184">
        <v>2</v>
      </c>
      <c r="I49" s="184">
        <v>2</v>
      </c>
      <c r="J49" s="69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>287</v>
      </c>
      <c r="K49" s="65">
        <f t="shared" si="4"/>
        <v>1</v>
      </c>
      <c r="L49" s="64">
        <f t="shared" si="1"/>
        <v>0</v>
      </c>
      <c r="M49" s="64">
        <f t="shared" si="5"/>
        <v>9.9999999999999992E-2</v>
      </c>
      <c r="N49" s="157">
        <f>+M49</f>
        <v>9.9999999999999992E-2</v>
      </c>
      <c r="U49" s="138">
        <f t="shared" si="2"/>
        <v>107</v>
      </c>
      <c r="V49" s="138">
        <f t="shared" si="3"/>
        <v>107</v>
      </c>
    </row>
    <row r="50" spans="1:31" ht="15.75" hidden="1" thickBot="1" x14ac:dyDescent="0.3">
      <c r="A50" s="143"/>
      <c r="B50" s="67" t="str">
        <f>IF(N19="","",N19)</f>
        <v>P14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7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2975</v>
      </c>
      <c r="K52" s="147"/>
      <c r="L52" s="91"/>
      <c r="M52" s="92"/>
      <c r="N52" s="238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8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2975</v>
      </c>
      <c r="L54" s="91"/>
      <c r="M54" s="92"/>
      <c r="N54" s="238"/>
    </row>
    <row r="55" spans="1:31" ht="15.75" thickBot="1" x14ac:dyDescent="0.3">
      <c r="A55" s="239" t="s">
        <v>220</v>
      </c>
      <c r="B55" s="239"/>
      <c r="C55" s="239"/>
      <c r="D55" s="21">
        <f>IF(N10="","",SUM(C23:C49))</f>
        <v>2931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1"/>
      <c r="N56" s="84" t="s">
        <v>61</v>
      </c>
    </row>
    <row r="57" spans="1:31" ht="15.75" thickBot="1" x14ac:dyDescent="0.3">
      <c r="A57" s="148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3"/>
      <c r="N57" s="85">
        <f>MAX(N23:N49)</f>
        <v>9.9999999999999992E-2</v>
      </c>
    </row>
    <row r="59" spans="1:31" ht="15.75" thickBot="1" x14ac:dyDescent="0.3"/>
    <row r="60" spans="1:31" ht="15.75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218</v>
      </c>
    </row>
    <row r="61" spans="1:31" ht="18" x14ac:dyDescent="0.25">
      <c r="A61" s="260" t="s">
        <v>62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</row>
    <row r="62" spans="1:31" ht="18" x14ac:dyDescent="0.25">
      <c r="A62" s="199"/>
      <c r="B62" s="199"/>
      <c r="C62" s="199"/>
      <c r="D62" s="199"/>
      <c r="E62" s="199"/>
      <c r="F62" s="22" t="s">
        <v>111</v>
      </c>
      <c r="G62" s="199"/>
      <c r="H62" s="199"/>
      <c r="I62" s="199"/>
      <c r="J62" s="199"/>
      <c r="K62" s="199"/>
      <c r="L62" s="199"/>
      <c r="M62" s="199"/>
      <c r="N62" s="87"/>
    </row>
    <row r="63" spans="1:31" ht="15.75" x14ac:dyDescent="0.25">
      <c r="A63" s="261" t="s">
        <v>173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160</v>
      </c>
      <c r="AE63" s="138" t="s">
        <v>166</v>
      </c>
    </row>
    <row r="64" spans="1:31" ht="16.5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161</v>
      </c>
      <c r="AE64" s="138">
        <v>0.65</v>
      </c>
    </row>
    <row r="65" spans="1:31" ht="15.75" thickBot="1" x14ac:dyDescent="0.3">
      <c r="A65" s="25" t="s">
        <v>23</v>
      </c>
      <c r="B65" s="26"/>
      <c r="C65" s="88"/>
      <c r="D65" s="249" t="s">
        <v>64</v>
      </c>
      <c r="E65" s="251"/>
      <c r="F65" s="284" t="s">
        <v>179</v>
      </c>
      <c r="G65" s="285"/>
      <c r="H65" s="264" t="str">
        <f>+H6</f>
        <v>Tomas de Berlanga</v>
      </c>
      <c r="I65" s="265"/>
      <c r="J65" s="266"/>
      <c r="K65" s="267" t="s">
        <v>81</v>
      </c>
      <c r="L65" s="268"/>
      <c r="M65" s="269" t="str">
        <f>+M6</f>
        <v>CERRO VERDE</v>
      </c>
      <c r="N65" s="270"/>
      <c r="Q65" s="198"/>
      <c r="R65" s="198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162</v>
      </c>
      <c r="AE65" s="138">
        <v>0.7</v>
      </c>
    </row>
    <row r="66" spans="1:31" ht="15.75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163</v>
      </c>
      <c r="AE66" s="138">
        <v>0.8</v>
      </c>
    </row>
    <row r="67" spans="1:31" ht="15.75" thickBot="1" x14ac:dyDescent="0.3">
      <c r="A67" s="25" t="s">
        <v>24</v>
      </c>
      <c r="B67" s="26"/>
      <c r="C67" s="26"/>
      <c r="D67" s="249" t="s">
        <v>68</v>
      </c>
      <c r="E67" s="250"/>
      <c r="F67" s="251"/>
      <c r="G67" s="25"/>
      <c r="H67" s="29"/>
      <c r="I67" s="29"/>
      <c r="J67" s="26"/>
      <c r="K67" s="26"/>
      <c r="L67" s="26"/>
      <c r="M67" s="26"/>
      <c r="N67" s="212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8"/>
      <c r="M68" s="23"/>
      <c r="N68" s="213"/>
      <c r="AC68" s="141" t="s">
        <v>3</v>
      </c>
      <c r="AE68" s="138">
        <v>1</v>
      </c>
    </row>
    <row r="69" spans="1:31" ht="15.75" thickBot="1" x14ac:dyDescent="0.3">
      <c r="A69" s="30" t="s">
        <v>26</v>
      </c>
      <c r="B69" s="18"/>
      <c r="C69" s="23"/>
      <c r="D69" s="252" t="s">
        <v>9</v>
      </c>
      <c r="E69" s="286"/>
      <c r="F69" s="286"/>
      <c r="G69" s="253"/>
      <c r="H69" s="18"/>
      <c r="I69" s="18"/>
      <c r="J69" s="18"/>
      <c r="K69" s="23"/>
      <c r="L69" s="223" t="s">
        <v>175</v>
      </c>
      <c r="M69" s="18"/>
      <c r="N69" s="162" t="s">
        <v>29</v>
      </c>
      <c r="U69" s="138" t="s">
        <v>64</v>
      </c>
      <c r="W69" s="138" t="s">
        <v>29</v>
      </c>
      <c r="X69" s="138" t="s">
        <v>78</v>
      </c>
    </row>
    <row r="70" spans="1:31" ht="15.75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172</v>
      </c>
      <c r="L70" s="29"/>
      <c r="M70" s="220"/>
      <c r="N70" s="209" t="str">
        <f>IF(N69="","",IF(N69="3F","13.8 KV","7.6 kV"))</f>
        <v>7.6 kV</v>
      </c>
      <c r="U70" s="138" t="s">
        <v>84</v>
      </c>
      <c r="W70" s="138">
        <v>10</v>
      </c>
      <c r="X70" s="138">
        <v>30</v>
      </c>
    </row>
    <row r="71" spans="1:31" ht="15.75" thickBot="1" x14ac:dyDescent="0.3">
      <c r="A71" s="36" t="s">
        <v>174</v>
      </c>
      <c r="B71" s="37"/>
      <c r="C71" s="37"/>
      <c r="D71" s="150">
        <v>4</v>
      </c>
      <c r="E71" s="38"/>
      <c r="F71" s="39"/>
      <c r="G71" s="39"/>
      <c r="H71" s="39"/>
      <c r="I71" s="39"/>
      <c r="J71" s="37"/>
      <c r="K71" s="25" t="s">
        <v>176</v>
      </c>
      <c r="L71" s="26"/>
      <c r="M71" s="221"/>
      <c r="N71" s="222">
        <v>40</v>
      </c>
      <c r="U71" s="138" t="s">
        <v>85</v>
      </c>
      <c r="W71" s="138">
        <v>15</v>
      </c>
      <c r="X71" s="138">
        <v>50</v>
      </c>
    </row>
    <row r="72" spans="1:31" ht="15.75" thickBot="1" x14ac:dyDescent="0.3">
      <c r="A72" s="41" t="s">
        <v>31</v>
      </c>
      <c r="B72" s="21"/>
      <c r="C72" s="21"/>
      <c r="D72" s="150">
        <v>5</v>
      </c>
      <c r="E72" s="21"/>
      <c r="F72" s="28"/>
      <c r="G72" s="42" t="s">
        <v>32</v>
      </c>
      <c r="H72" s="254" t="str">
        <f>+H13</f>
        <v>Jefatura de Planificación</v>
      </c>
      <c r="I72" s="255"/>
      <c r="J72" s="255"/>
      <c r="K72" s="216"/>
      <c r="L72" s="21"/>
      <c r="M72" s="214"/>
      <c r="N72" s="217"/>
      <c r="U72" s="138" t="s">
        <v>86</v>
      </c>
      <c r="W72" s="138">
        <v>25</v>
      </c>
      <c r="X72" s="138">
        <v>75</v>
      </c>
    </row>
    <row r="73" spans="1:31" ht="15.75" thickBot="1" x14ac:dyDescent="0.3">
      <c r="A73" s="41" t="s">
        <v>34</v>
      </c>
      <c r="B73" s="21"/>
      <c r="C73" s="21"/>
      <c r="D73" s="162">
        <f>90*5</f>
        <v>450</v>
      </c>
      <c r="E73" s="41"/>
      <c r="F73" s="28"/>
      <c r="G73" s="42" t="s">
        <v>35</v>
      </c>
      <c r="H73" s="256">
        <f>+H14</f>
        <v>43598</v>
      </c>
      <c r="I73" s="257"/>
      <c r="J73" s="257"/>
      <c r="K73" s="41"/>
      <c r="L73" s="21"/>
      <c r="M73" s="214"/>
      <c r="N73" s="218"/>
      <c r="U73" s="138" t="s">
        <v>87</v>
      </c>
      <c r="W73" s="138">
        <v>37.5</v>
      </c>
      <c r="X73" s="138">
        <v>100</v>
      </c>
    </row>
    <row r="74" spans="1:31" ht="15.75" thickBot="1" x14ac:dyDescent="0.3">
      <c r="A74" s="258"/>
      <c r="B74" s="259"/>
      <c r="C74" s="259"/>
      <c r="D74" s="259"/>
      <c r="E74" s="259"/>
      <c r="F74" s="259"/>
      <c r="G74" s="259"/>
      <c r="H74" s="259"/>
      <c r="I74" s="259"/>
      <c r="J74" s="259"/>
      <c r="K74" s="44"/>
      <c r="L74" s="34"/>
      <c r="M74" s="215" t="str">
        <f>+IF(OR(N69="",D71="",D72=""),"","POT. NOMINAL TRAFO. (KVA):")</f>
        <v>POT. NOMINAL TRAFO. (KVA):</v>
      </c>
      <c r="N74" s="219"/>
      <c r="U74" s="138" t="s">
        <v>88</v>
      </c>
      <c r="W74" s="138">
        <v>50</v>
      </c>
      <c r="X74" s="138">
        <v>125</v>
      </c>
    </row>
    <row r="75" spans="1:31" ht="15.75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180</v>
      </c>
      <c r="L77" s="21"/>
      <c r="M77" s="21"/>
      <c r="N77" s="229">
        <f>+N49</f>
        <v>9.9999999999999992E-2</v>
      </c>
      <c r="U77" s="138" t="s">
        <v>91</v>
      </c>
      <c r="W77" s="138">
        <v>112.5</v>
      </c>
    </row>
    <row r="78" spans="1:31" ht="15.75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178</v>
      </c>
      <c r="M78" s="142"/>
      <c r="N78" s="163" t="s">
        <v>213</v>
      </c>
      <c r="S78" s="139"/>
      <c r="W78" s="138">
        <v>125</v>
      </c>
    </row>
    <row r="79" spans="1:31" ht="15.75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thickBot="1" x14ac:dyDescent="0.3">
      <c r="A80" s="244" t="s">
        <v>38</v>
      </c>
      <c r="B80" s="245"/>
      <c r="C80" s="292" t="s">
        <v>39</v>
      </c>
      <c r="D80" s="293"/>
      <c r="E80" s="287" t="s">
        <v>42</v>
      </c>
      <c r="F80" s="288"/>
      <c r="G80" s="244" t="s">
        <v>43</v>
      </c>
      <c r="H80" s="246"/>
      <c r="I80" s="246"/>
      <c r="J80" s="245"/>
      <c r="K80" s="247" t="s">
        <v>185</v>
      </c>
      <c r="L80" s="246" t="s">
        <v>45</v>
      </c>
      <c r="M80" s="246"/>
      <c r="N80" s="245"/>
      <c r="U80" s="236" t="s">
        <v>98</v>
      </c>
      <c r="V80" s="236" t="s">
        <v>99</v>
      </c>
    </row>
    <row r="81" spans="1:22" ht="15.75" thickBot="1" x14ac:dyDescent="0.3">
      <c r="A81" s="52" t="s">
        <v>46</v>
      </c>
      <c r="B81" s="52" t="s">
        <v>47</v>
      </c>
      <c r="C81" s="289" t="s">
        <v>48</v>
      </c>
      <c r="D81" s="290"/>
      <c r="E81" s="289" t="s">
        <v>177</v>
      </c>
      <c r="F81" s="290"/>
      <c r="G81" s="56" t="s">
        <v>52</v>
      </c>
      <c r="H81" s="43" t="s">
        <v>105</v>
      </c>
      <c r="I81" s="124" t="s">
        <v>106</v>
      </c>
      <c r="J81" s="43" t="s">
        <v>53</v>
      </c>
      <c r="K81" s="248"/>
      <c r="L81" s="53" t="s">
        <v>54</v>
      </c>
      <c r="M81" s="43" t="s">
        <v>55</v>
      </c>
      <c r="N81" s="57" t="s">
        <v>56</v>
      </c>
      <c r="U81" s="236"/>
      <c r="V81" s="236"/>
    </row>
    <row r="82" spans="1:22" x14ac:dyDescent="0.25">
      <c r="A82" s="191" t="s">
        <v>213</v>
      </c>
      <c r="B82" s="164" t="s">
        <v>214</v>
      </c>
      <c r="C82" s="283">
        <v>107</v>
      </c>
      <c r="D82" s="283"/>
      <c r="E82" s="298">
        <v>100</v>
      </c>
      <c r="F82" s="299"/>
      <c r="G82" s="95">
        <f t="shared" ref="G82:G102" si="6">IF(OR($N$10="",C82=""),"",IF($N$10="1F",1,3))</f>
        <v>1</v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287</v>
      </c>
      <c r="K82" s="60">
        <f>IF(C82="","",ROUND(E82*C82/1000,0))</f>
        <v>11</v>
      </c>
      <c r="L82" s="61">
        <f t="shared" ref="L82:L102" si="7">IF($N$19="","",IF(C82="","",ROUND(K82/J82,2)))</f>
        <v>0.04</v>
      </c>
      <c r="M82" s="61">
        <f>IF(C82="","",VLOOKUP(A82,$B$82:$N$104,12,FALSE)+L82+N77)</f>
        <v>0.13999999999999999</v>
      </c>
      <c r="N82" s="154"/>
      <c r="U82" s="138">
        <f t="shared" ref="U82:U104" si="8">+IF(C82="",0,C82)</f>
        <v>107</v>
      </c>
      <c r="V82" s="138">
        <f t="shared" ref="V82:V103" si="9">IF(OR(C82="",G82=""),0,C82*G82)</f>
        <v>107</v>
      </c>
    </row>
    <row r="83" spans="1:22" x14ac:dyDescent="0.25">
      <c r="A83" s="167" t="s">
        <v>214</v>
      </c>
      <c r="B83" s="168" t="s">
        <v>215</v>
      </c>
      <c r="C83" s="277">
        <v>106</v>
      </c>
      <c r="D83" s="277"/>
      <c r="E83" s="278">
        <v>100</v>
      </c>
      <c r="F83" s="279"/>
      <c r="G83" s="59">
        <f t="shared" si="6"/>
        <v>1</v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287</v>
      </c>
      <c r="K83" s="63">
        <f t="shared" ref="K83:K103" si="10">IF(C83="","",ROUND(E83*C83/1000,0))</f>
        <v>11</v>
      </c>
      <c r="L83" s="62">
        <f t="shared" si="7"/>
        <v>0.04</v>
      </c>
      <c r="M83" s="62">
        <f>IF(C83="","",VLOOKUP(A83,$B$82:$N$104,12,FALSE)+L83)</f>
        <v>0.18</v>
      </c>
      <c r="N83" s="155"/>
      <c r="U83" s="138">
        <f t="shared" si="8"/>
        <v>106</v>
      </c>
      <c r="V83" s="138">
        <f t="shared" si="9"/>
        <v>106</v>
      </c>
    </row>
    <row r="84" spans="1:22" x14ac:dyDescent="0.25">
      <c r="A84" s="167" t="s">
        <v>215</v>
      </c>
      <c r="B84" s="168" t="s">
        <v>208</v>
      </c>
      <c r="C84" s="277">
        <v>75</v>
      </c>
      <c r="D84" s="277"/>
      <c r="E84" s="278">
        <v>50</v>
      </c>
      <c r="F84" s="279"/>
      <c r="G84" s="59">
        <f t="shared" si="6"/>
        <v>1</v>
      </c>
      <c r="H84" s="183">
        <v>2</v>
      </c>
      <c r="I84" s="183">
        <v>2</v>
      </c>
      <c r="J84" s="59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>287</v>
      </c>
      <c r="K84" s="63">
        <f t="shared" si="10"/>
        <v>4</v>
      </c>
      <c r="L84" s="62">
        <f t="shared" si="7"/>
        <v>0.01</v>
      </c>
      <c r="M84" s="62">
        <f>IF(C84="","",VLOOKUP(A84,$B$82:$N$104,12,FALSE)+L84)</f>
        <v>0.19</v>
      </c>
      <c r="N84" s="155"/>
      <c r="U84" s="138">
        <f t="shared" si="8"/>
        <v>75</v>
      </c>
      <c r="V84" s="138">
        <f t="shared" si="9"/>
        <v>75</v>
      </c>
    </row>
    <row r="85" spans="1:22" x14ac:dyDescent="0.25">
      <c r="A85" s="167" t="s">
        <v>208</v>
      </c>
      <c r="B85" s="168" t="s">
        <v>206</v>
      </c>
      <c r="C85" s="277">
        <v>75</v>
      </c>
      <c r="D85" s="277"/>
      <c r="E85" s="278">
        <v>50</v>
      </c>
      <c r="F85" s="279"/>
      <c r="G85" s="59">
        <f t="shared" si="6"/>
        <v>1</v>
      </c>
      <c r="H85" s="183">
        <v>2</v>
      </c>
      <c r="I85" s="183">
        <v>2</v>
      </c>
      <c r="J85" s="59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>287</v>
      </c>
      <c r="K85" s="63">
        <f t="shared" si="10"/>
        <v>4</v>
      </c>
      <c r="L85" s="62">
        <f t="shared" si="7"/>
        <v>0.01</v>
      </c>
      <c r="M85" s="62">
        <f>IF(C85="","",VLOOKUP(A85,$B$82:$N$104,12,FALSE)+L85)</f>
        <v>0.2</v>
      </c>
      <c r="N85" s="155">
        <f>+M85</f>
        <v>0.2</v>
      </c>
      <c r="U85" s="138">
        <f t="shared" si="8"/>
        <v>75</v>
      </c>
      <c r="V85" s="138">
        <f t="shared" si="9"/>
        <v>75</v>
      </c>
    </row>
    <row r="86" spans="1:22" x14ac:dyDescent="0.25">
      <c r="A86" s="167"/>
      <c r="B86" s="168"/>
      <c r="C86" s="277"/>
      <c r="D86" s="277"/>
      <c r="E86" s="278"/>
      <c r="F86" s="279"/>
      <c r="G86" s="59"/>
      <c r="H86" s="183"/>
      <c r="I86" s="183"/>
      <c r="J86" s="59"/>
      <c r="K86" s="63"/>
      <c r="L86" s="62"/>
      <c r="M86" s="62"/>
      <c r="N86" s="155"/>
    </row>
    <row r="87" spans="1:22" x14ac:dyDescent="0.25">
      <c r="A87" s="175"/>
      <c r="B87" s="176"/>
      <c r="C87" s="277"/>
      <c r="D87" s="277"/>
      <c r="E87" s="278"/>
      <c r="F87" s="279"/>
      <c r="G87" s="59" t="str">
        <f t="shared" si="6"/>
        <v/>
      </c>
      <c r="H87" s="183"/>
      <c r="I87" s="183"/>
      <c r="J87" s="59" t="str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/>
      </c>
      <c r="K87" s="63" t="str">
        <f t="shared" si="10"/>
        <v/>
      </c>
      <c r="L87" s="62" t="str">
        <f t="shared" si="7"/>
        <v/>
      </c>
      <c r="M87" s="62" t="str">
        <f t="shared" ref="M87:M103" si="11">IF(C87="","",VLOOKUP(A87,$B$82:$N$104,12,FALSE)+L87)</f>
        <v/>
      </c>
      <c r="N87" s="155"/>
      <c r="U87" s="138">
        <f t="shared" si="8"/>
        <v>0</v>
      </c>
      <c r="V87" s="138">
        <f t="shared" si="9"/>
        <v>0</v>
      </c>
    </row>
    <row r="88" spans="1:22" x14ac:dyDescent="0.25">
      <c r="A88" s="167"/>
      <c r="B88" s="168"/>
      <c r="C88" s="277"/>
      <c r="D88" s="277"/>
      <c r="E88" s="278"/>
      <c r="F88" s="279"/>
      <c r="G88" s="59" t="str">
        <f t="shared" si="6"/>
        <v/>
      </c>
      <c r="H88" s="183"/>
      <c r="I88" s="183"/>
      <c r="J88" s="59" t="str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/>
      </c>
      <c r="K88" s="63" t="str">
        <f t="shared" si="10"/>
        <v/>
      </c>
      <c r="L88" s="62" t="str">
        <f t="shared" si="7"/>
        <v/>
      </c>
      <c r="M88" s="62" t="str">
        <f t="shared" si="11"/>
        <v/>
      </c>
      <c r="N88" s="155"/>
      <c r="U88" s="138">
        <f t="shared" si="8"/>
        <v>0</v>
      </c>
      <c r="V88" s="138">
        <f t="shared" si="9"/>
        <v>0</v>
      </c>
    </row>
    <row r="89" spans="1:22" x14ac:dyDescent="0.25">
      <c r="A89" s="167"/>
      <c r="B89" s="168"/>
      <c r="C89" s="277"/>
      <c r="D89" s="277"/>
      <c r="E89" s="278"/>
      <c r="F89" s="279"/>
      <c r="G89" s="59" t="str">
        <f t="shared" si="6"/>
        <v/>
      </c>
      <c r="H89" s="183"/>
      <c r="I89" s="183"/>
      <c r="J89" s="59" t="str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/>
      </c>
      <c r="K89" s="63" t="str">
        <f t="shared" si="10"/>
        <v/>
      </c>
      <c r="L89" s="62" t="str">
        <f t="shared" si="7"/>
        <v/>
      </c>
      <c r="M89" s="62" t="str">
        <f t="shared" si="11"/>
        <v/>
      </c>
      <c r="N89" s="155"/>
      <c r="U89" s="138">
        <f t="shared" si="8"/>
        <v>0</v>
      </c>
      <c r="V89" s="138">
        <f t="shared" si="9"/>
        <v>0</v>
      </c>
    </row>
    <row r="90" spans="1:22" x14ac:dyDescent="0.25">
      <c r="A90" s="167"/>
      <c r="B90" s="168"/>
      <c r="C90" s="277"/>
      <c r="D90" s="277"/>
      <c r="E90" s="278"/>
      <c r="F90" s="279"/>
      <c r="G90" s="59" t="str">
        <f t="shared" si="6"/>
        <v/>
      </c>
      <c r="H90" s="183"/>
      <c r="I90" s="183"/>
      <c r="J90" s="59" t="str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/>
      </c>
      <c r="K90" s="63" t="str">
        <f t="shared" si="10"/>
        <v/>
      </c>
      <c r="L90" s="62" t="str">
        <f t="shared" si="7"/>
        <v/>
      </c>
      <c r="M90" s="62" t="str">
        <f t="shared" si="11"/>
        <v/>
      </c>
      <c r="N90" s="155"/>
      <c r="U90" s="138">
        <f t="shared" si="8"/>
        <v>0</v>
      </c>
      <c r="V90" s="138">
        <f t="shared" si="9"/>
        <v>0</v>
      </c>
    </row>
    <row r="91" spans="1:22" x14ac:dyDescent="0.25">
      <c r="A91" s="167"/>
      <c r="B91" s="168"/>
      <c r="C91" s="277"/>
      <c r="D91" s="277"/>
      <c r="E91" s="278"/>
      <c r="F91" s="279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x14ac:dyDescent="0.25">
      <c r="A92" s="167"/>
      <c r="B92" s="168"/>
      <c r="C92" s="277"/>
      <c r="D92" s="277"/>
      <c r="E92" s="278"/>
      <c r="F92" s="279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x14ac:dyDescent="0.25">
      <c r="A93" s="167"/>
      <c r="B93" s="168"/>
      <c r="C93" s="277"/>
      <c r="D93" s="277"/>
      <c r="E93" s="278"/>
      <c r="F93" s="279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x14ac:dyDescent="0.25">
      <c r="A94" s="167"/>
      <c r="B94" s="168"/>
      <c r="C94" s="277"/>
      <c r="D94" s="277"/>
      <c r="E94" s="278"/>
      <c r="F94" s="279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x14ac:dyDescent="0.25">
      <c r="A95" s="167"/>
      <c r="B95" s="168"/>
      <c r="C95" s="277"/>
      <c r="D95" s="277"/>
      <c r="E95" s="278"/>
      <c r="F95" s="279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x14ac:dyDescent="0.25">
      <c r="A96" s="167"/>
      <c r="B96" s="168"/>
      <c r="C96" s="277"/>
      <c r="D96" s="277"/>
      <c r="E96" s="278"/>
      <c r="F96" s="279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x14ac:dyDescent="0.25">
      <c r="A97" s="167"/>
      <c r="B97" s="168"/>
      <c r="C97" s="277"/>
      <c r="D97" s="277"/>
      <c r="E97" s="278"/>
      <c r="F97" s="279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x14ac:dyDescent="0.25">
      <c r="A98" s="167"/>
      <c r="B98" s="168"/>
      <c r="C98" s="277"/>
      <c r="D98" s="277"/>
      <c r="E98" s="278"/>
      <c r="F98" s="279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x14ac:dyDescent="0.25">
      <c r="A99" s="167"/>
      <c r="B99" s="168"/>
      <c r="C99" s="277"/>
      <c r="D99" s="277"/>
      <c r="E99" s="278"/>
      <c r="F99" s="279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x14ac:dyDescent="0.25">
      <c r="A100" s="167"/>
      <c r="B100" s="168"/>
      <c r="C100" s="277"/>
      <c r="D100" s="277"/>
      <c r="E100" s="278"/>
      <c r="F100" s="279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x14ac:dyDescent="0.25">
      <c r="A101" s="167"/>
      <c r="B101" s="168"/>
      <c r="C101" s="277"/>
      <c r="D101" s="277"/>
      <c r="E101" s="278"/>
      <c r="F101" s="279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x14ac:dyDescent="0.25">
      <c r="A102" s="167"/>
      <c r="B102" s="168"/>
      <c r="C102" s="277"/>
      <c r="D102" s="277"/>
      <c r="E102" s="278"/>
      <c r="F102" s="279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6"/>
      <c r="U102" s="138">
        <f t="shared" si="8"/>
        <v>0</v>
      </c>
      <c r="V102" s="138">
        <f t="shared" si="9"/>
        <v>0</v>
      </c>
    </row>
    <row r="103" spans="1:22" ht="15.75" thickBot="1" x14ac:dyDescent="0.3">
      <c r="A103" s="178"/>
      <c r="B103" s="179"/>
      <c r="C103" s="280"/>
      <c r="D103" s="280"/>
      <c r="E103" s="281"/>
      <c r="F103" s="282"/>
      <c r="G103" s="69"/>
      <c r="H103" s="184"/>
      <c r="I103" s="184"/>
      <c r="J103" s="6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5" t="str">
        <f t="shared" si="10"/>
        <v/>
      </c>
      <c r="L103" s="64"/>
      <c r="M103" s="64" t="str">
        <f t="shared" si="11"/>
        <v/>
      </c>
      <c r="N103" s="157"/>
      <c r="U103" s="138">
        <f t="shared" si="8"/>
        <v>0</v>
      </c>
      <c r="V103" s="138">
        <f t="shared" si="9"/>
        <v>0</v>
      </c>
    </row>
    <row r="104" spans="1:22" ht="15.75" hidden="1" thickBot="1" x14ac:dyDescent="0.3">
      <c r="A104" s="143"/>
      <c r="B104" s="67" t="str">
        <f>IF(N78="","",N78)</f>
        <v>P41</v>
      </c>
      <c r="C104" s="144"/>
      <c r="D104" s="144"/>
      <c r="E104" s="145"/>
      <c r="F104" s="68" t="str">
        <f>IF($N$8="","",IF($N$8="INDUSTRIAL",IF(OR($D$6="",$D$12=""),"",IF(OR(D104&gt;$D$13,E104&gt;$D$14),"Rev. Total. abona.",IF(D104="",IF(E104="","",E104/(0.9*1000)),IF(OR($D$6="SAN CRISTOBAL",$D$6="FLOREANA"),VLOOKUP(D104,'Estratos SCY - FLO'!$A$4:$M$108,IF($D$12="A1",2,IF($D$12="A",5,IF($D$12="B",8,11))))+E104/(0.92*1000),VLOOKUP(D104,'Estratos SCX - ISA'!$A$3:$M$107,IF($D$12="A1",2,IF($D$12="A",5,IF($D$12="B",8,11))))+E104/(0.92*1000))))),IF(OR($D$6="",$D$12=""),"",IF(OR(D104&gt;$D$13,E104&gt;$D$14),"Rev. Total. abona.",IF(D104="",IF(E104="","",E104/(0.92*1000)),IF(OR($D$6="SAN CRISTOBAL",$D$6="FLOREANA"),VLOOKUP(D104,'Estratos SCY - FLO'!$O$4:$S$108,IF($D$12="A1",2,IF($D$12="A",3,IF($D$12="B",4,5))))+E104/(0.92*1000),VLOOKUP(D104,'Estratos SCX - ISA'!$O$4:$S$108,IF($D$12="A1",2,IF($D$12="A",3,IF($D$12="B",4,5))))+E104/(0.92*1000)))))))</f>
        <v/>
      </c>
      <c r="G104" s="69" t="str">
        <f>IF(OR($N$10="",C104=""),"",IF($N$10="1F",1,3))</f>
        <v/>
      </c>
      <c r="H104" s="146" t="e">
        <f>IF(B104="","",IF(B104-A104=1,H103,""))</f>
        <v>#VALUE!</v>
      </c>
      <c r="I104" s="146"/>
      <c r="J104" s="70" t="e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>#VALUE!</v>
      </c>
      <c r="K104" s="71" t="str">
        <f>IF(C104="","",ROUND(F104*C104,0))</f>
        <v/>
      </c>
      <c r="L104" s="68" t="str">
        <f>IF(C104="","",ROUND(K104/J104,2))</f>
        <v/>
      </c>
      <c r="M104" s="72">
        <v>0</v>
      </c>
      <c r="N104" s="66"/>
      <c r="U104" s="138">
        <f t="shared" si="8"/>
        <v>0</v>
      </c>
      <c r="V104" s="138">
        <f>IF(C104="",0,C104*G104)</f>
        <v>0</v>
      </c>
    </row>
    <row r="105" spans="1:22" ht="15.75" thickBot="1" x14ac:dyDescent="0.3">
      <c r="A105" s="73" t="s">
        <v>113</v>
      </c>
      <c r="B105" s="74"/>
      <c r="C105" s="75"/>
      <c r="D105" s="75"/>
      <c r="E105" s="76"/>
      <c r="F105" s="77"/>
      <c r="G105" s="78"/>
      <c r="H105" s="79"/>
      <c r="I105" s="79"/>
      <c r="J105" s="78"/>
      <c r="K105" s="121"/>
      <c r="L105" s="121"/>
      <c r="M105" s="128"/>
      <c r="N105" s="237"/>
      <c r="U105" s="138">
        <f>+IF(D105&gt;0,C105,0)</f>
        <v>0</v>
      </c>
      <c r="V105" s="138">
        <f>IF(C105="",0,C105*G105)</f>
        <v>0</v>
      </c>
    </row>
    <row r="106" spans="1:22" ht="15.75" thickBot="1" x14ac:dyDescent="0.3">
      <c r="A106" s="93" t="s">
        <v>96</v>
      </c>
      <c r="B106" s="94">
        <f>+ROUND(SUMIF(H82:H103,"4/0",V82:V105)*1.015,0)</f>
        <v>0</v>
      </c>
      <c r="C106" s="93" t="s">
        <v>97</v>
      </c>
      <c r="D106" s="94">
        <f>ROUND((SUMIF(H82:H103,"3/0",V82:V105))*1.015,0)</f>
        <v>0</v>
      </c>
      <c r="E106" s="82" t="s">
        <v>95</v>
      </c>
      <c r="F106" s="81">
        <f>ROUND((SUMIF(H82:H103,"2/0",V82:V105))*1.015,0)</f>
        <v>0</v>
      </c>
      <c r="G106" s="80" t="s">
        <v>57</v>
      </c>
      <c r="H106" s="81">
        <f>ROUND((SUMIF(H82:H103,"1/0",V82:V105))*1.015,0)</f>
        <v>0</v>
      </c>
      <c r="I106" s="93" t="s">
        <v>58</v>
      </c>
      <c r="J106" s="94">
        <f>ROUND((SUMIF(H82:H103,"2",V82:V105))*1.015,0)</f>
        <v>368</v>
      </c>
      <c r="K106" s="147"/>
      <c r="L106" s="91"/>
      <c r="M106" s="92"/>
      <c r="N106" s="238"/>
    </row>
    <row r="107" spans="1:22" ht="15.75" thickBot="1" x14ac:dyDescent="0.3">
      <c r="A107" s="119" t="s">
        <v>107</v>
      </c>
      <c r="B107" s="92"/>
      <c r="C107" s="91"/>
      <c r="D107" s="92"/>
      <c r="E107" s="91"/>
      <c r="F107" s="92"/>
      <c r="G107" s="91"/>
      <c r="H107" s="92"/>
      <c r="I107" s="92"/>
      <c r="J107" s="91"/>
      <c r="K107" s="92"/>
      <c r="L107" s="91"/>
      <c r="M107" s="92"/>
      <c r="N107" s="238"/>
    </row>
    <row r="108" spans="1:22" ht="15.75" thickBot="1" x14ac:dyDescent="0.3">
      <c r="A108" s="93" t="s">
        <v>96</v>
      </c>
      <c r="B108" s="94">
        <f>+ROUND(SUMIF(I82:I103,"4/0",U82:U105)*1.015,0)</f>
        <v>0</v>
      </c>
      <c r="C108" s="93" t="s">
        <v>97</v>
      </c>
      <c r="D108" s="94">
        <f>ROUND((SUMIF(I82:I103,"3/0",U82:U105))*1.015,0)</f>
        <v>0</v>
      </c>
      <c r="E108" s="93" t="s">
        <v>95</v>
      </c>
      <c r="F108" s="94">
        <f>ROUND((SUMIF(I82:I103,"2/0",U82:U105))*1.015,0)</f>
        <v>0</v>
      </c>
      <c r="G108" s="93" t="s">
        <v>57</v>
      </c>
      <c r="H108" s="94">
        <f>ROUND((SUMIF(I82:I103,"1/0",U82:U105))*1.015,0)</f>
        <v>0</v>
      </c>
      <c r="I108" s="93" t="s">
        <v>58</v>
      </c>
      <c r="J108" s="94">
        <f>ROUND((SUMIF(I82:I103,"2",U82:U105))*1.015,0)</f>
        <v>368</v>
      </c>
      <c r="L108" s="91"/>
      <c r="M108" s="92"/>
      <c r="N108" s="238"/>
    </row>
    <row r="109" spans="1:22" ht="15.75" thickBot="1" x14ac:dyDescent="0.3">
      <c r="A109" s="291" t="s">
        <v>219</v>
      </c>
      <c r="B109" s="291"/>
      <c r="C109" s="291"/>
      <c r="D109" s="21">
        <f>IF(N69="","",SUM(C82:C103))</f>
        <v>363</v>
      </c>
      <c r="E109" s="28" t="s">
        <v>59</v>
      </c>
      <c r="G109" s="21"/>
      <c r="H109" s="21"/>
      <c r="I109" s="21"/>
      <c r="J109" s="21"/>
      <c r="K109" s="21"/>
      <c r="L109" s="21"/>
      <c r="M109" s="23"/>
      <c r="N109" s="83" t="s">
        <v>80</v>
      </c>
    </row>
    <row r="110" spans="1:22" x14ac:dyDescent="0.25">
      <c r="A110" s="36" t="s">
        <v>60</v>
      </c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1"/>
      <c r="N110" s="84" t="s">
        <v>61</v>
      </c>
    </row>
    <row r="111" spans="1:22" ht="15.75" thickBot="1" x14ac:dyDescent="0.3">
      <c r="A111" s="148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3"/>
      <c r="N111" s="85">
        <f>MAX(N82:N103)</f>
        <v>0.2</v>
      </c>
    </row>
  </sheetData>
  <dataConsolidate/>
  <mergeCells count="153">
    <mergeCell ref="B110:M110"/>
    <mergeCell ref="B111:M111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U80:U81"/>
    <mergeCell ref="V80:V81"/>
    <mergeCell ref="N105:N108"/>
    <mergeCell ref="A109:C109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C88:D88"/>
    <mergeCell ref="E88:F88"/>
    <mergeCell ref="C89:D89"/>
    <mergeCell ref="E89:F89"/>
    <mergeCell ref="C87:D87"/>
    <mergeCell ref="E87:F87"/>
    <mergeCell ref="C82:D82"/>
    <mergeCell ref="C83:D83"/>
    <mergeCell ref="E83:F83"/>
    <mergeCell ref="C84:D84"/>
    <mergeCell ref="E84:F84"/>
    <mergeCell ref="C85:D85"/>
    <mergeCell ref="E85:F85"/>
    <mergeCell ref="C103:D103"/>
    <mergeCell ref="E103:F103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102:D102"/>
    <mergeCell ref="E102:F102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</mergeCells>
  <conditionalFormatting sqref="N42:N50 N96:N104 N82:N86 N88:N94 N23:N40">
    <cfRule type="expression" dxfId="17" priority="52" stopIfTrue="1">
      <formula>$X22&gt;0</formula>
    </cfRule>
  </conditionalFormatting>
  <conditionalFormatting sqref="D8">
    <cfRule type="cellIs" dxfId="16" priority="53" stopIfTrue="1" operator="equal">
      <formula>""""""</formula>
    </cfRule>
  </conditionalFormatting>
  <conditionalFormatting sqref="N41">
    <cfRule type="expression" dxfId="15" priority="54" stopIfTrue="1">
      <formula>#REF!&gt;0</formula>
    </cfRule>
  </conditionalFormatting>
  <conditionalFormatting sqref="N1 D6 H6 M6 D8 D10 D12:D14 H13:H14 N10 N12 N19">
    <cfRule type="containsBlanks" dxfId="14" priority="55" stopIfTrue="1">
      <formula>LEN(TRIM(D1))=0</formula>
    </cfRule>
  </conditionalFormatting>
  <conditionalFormatting sqref="D67">
    <cfRule type="cellIs" dxfId="13" priority="10" stopIfTrue="1" operator="equal">
      <formula>""""""</formula>
    </cfRule>
  </conditionalFormatting>
  <conditionalFormatting sqref="N95">
    <cfRule type="expression" dxfId="12" priority="11" stopIfTrue="1">
      <formula>#REF!&gt;0</formula>
    </cfRule>
  </conditionalFormatting>
  <conditionalFormatting sqref="D65 H65 M65 D67 D69 D71:D73 H72:H73 N69 N71 N78">
    <cfRule type="containsBlanks" dxfId="11" priority="12" stopIfTrue="1">
      <formula>LEN(TRIM(D65))=0</formula>
    </cfRule>
  </conditionalFormatting>
  <conditionalFormatting sqref="N18">
    <cfRule type="containsBlanks" dxfId="10" priority="4" stopIfTrue="1">
      <formula>LEN(TRIM(N18))=0</formula>
    </cfRule>
  </conditionalFormatting>
  <conditionalFormatting sqref="N77">
    <cfRule type="containsBlanks" dxfId="9" priority="3" stopIfTrue="1">
      <formula>LEN(TRIM(N77))=0</formula>
    </cfRule>
  </conditionalFormatting>
  <conditionalFormatting sqref="N60">
    <cfRule type="containsBlanks" dxfId="8" priority="1" stopIfTrue="1">
      <formula>LEN(TRIM(N60))=0</formula>
    </cfRule>
  </conditionalFormatting>
  <conditionalFormatting sqref="N87">
    <cfRule type="expression" dxfId="7" priority="77" stopIfTrue="1">
      <formula>#REF!&gt;0</formula>
    </cfRule>
  </conditionalFormatting>
  <dataValidations count="5">
    <dataValidation type="list" allowBlank="1" showInputMessage="1" showErrorMessage="1" sqref="H82:I103 H23:I49">
      <formula1>$AC$5:$AC$9</formula1>
    </dataValidation>
    <dataValidation type="list" allowBlank="1" showInputMessage="1" showErrorMessage="1" sqref="D8 D67">
      <formula1>$W$5:$W$7</formula1>
    </dataValidation>
    <dataValidation type="list" allowBlank="1" showInputMessage="1" showErrorMessage="1" sqref="D6 D65">
      <formula1>$U$5:$U$8</formula1>
    </dataValidation>
    <dataValidation type="list" allowBlank="1" showInputMessage="1" showErrorMessage="1" sqref="D10 D69">
      <formula1>$Y$5:$Y$8</formula1>
    </dataValidation>
    <dataValidation type="list" allowBlank="1" showInputMessage="1" showErrorMessage="1" sqref="N10 N69">
      <formula1>$AB$5:$AB$6</formula1>
    </dataValidation>
  </dataValidations>
  <pageMargins left="0.7" right="0.7" top="0.75" bottom="0.75" header="0.3" footer="0.3"/>
  <pageSetup scale="60" orientation="portrait" r:id="rId1"/>
  <rowBreaks count="1" manualBreakCount="1">
    <brk id="58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311" t="s">
        <v>62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61" t="s">
        <v>109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50" t="s">
        <v>64</v>
      </c>
      <c r="E6" s="250"/>
      <c r="F6" s="262" t="s">
        <v>92</v>
      </c>
      <c r="G6" s="263"/>
      <c r="H6" s="312"/>
      <c r="I6" s="313"/>
      <c r="J6" s="314"/>
      <c r="K6" s="267" t="s">
        <v>81</v>
      </c>
      <c r="L6" s="268"/>
      <c r="M6" s="269"/>
      <c r="N6" s="270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49"/>
      <c r="E8" s="250"/>
      <c r="F8" s="251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52"/>
      <c r="E10" s="286"/>
      <c r="F10" s="253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5"/>
      <c r="I13" s="306"/>
      <c r="J13" s="306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56"/>
      <c r="I14" s="257"/>
      <c r="J14" s="257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7" t="s">
        <v>94</v>
      </c>
      <c r="B15" s="308"/>
      <c r="C15" s="308"/>
      <c r="D15" s="308"/>
      <c r="E15" s="308"/>
      <c r="F15" s="308"/>
      <c r="G15" s="308"/>
      <c r="H15" s="308"/>
      <c r="I15" s="308"/>
      <c r="J15" s="308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44" t="s">
        <v>38</v>
      </c>
      <c r="B22" s="245"/>
      <c r="C22" s="52" t="s">
        <v>39</v>
      </c>
      <c r="D22" s="52" t="s">
        <v>40</v>
      </c>
      <c r="E22" s="53" t="s">
        <v>41</v>
      </c>
      <c r="F22" s="53" t="s">
        <v>42</v>
      </c>
      <c r="G22" s="244" t="s">
        <v>43</v>
      </c>
      <c r="H22" s="246"/>
      <c r="I22" s="246"/>
      <c r="J22" s="245"/>
      <c r="K22" s="247" t="s">
        <v>44</v>
      </c>
      <c r="L22" s="246" t="s">
        <v>45</v>
      </c>
      <c r="M22" s="246"/>
      <c r="N22" s="245"/>
      <c r="S22" s="236" t="s">
        <v>98</v>
      </c>
      <c r="T22" s="236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48"/>
      <c r="L23" s="53" t="s">
        <v>54</v>
      </c>
      <c r="M23" s="43" t="s">
        <v>55</v>
      </c>
      <c r="N23" s="57" t="s">
        <v>56</v>
      </c>
      <c r="S23" s="236"/>
      <c r="T23" s="236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7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8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8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8"/>
    </row>
    <row r="56" spans="1:20" ht="20.25" customHeight="1" thickBot="1" x14ac:dyDescent="0.3">
      <c r="A56" s="304" t="s">
        <v>110</v>
      </c>
      <c r="B56" s="304"/>
      <c r="C56" s="304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3"/>
      <c r="N57" s="84" t="s">
        <v>61</v>
      </c>
    </row>
    <row r="58" spans="1:20" ht="15.75" thickBot="1" x14ac:dyDescent="0.3">
      <c r="A58" s="148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1"/>
      <c r="N58" s="85">
        <f>MAX(N24:N50)</f>
        <v>0</v>
      </c>
    </row>
  </sheetData>
  <mergeCells count="22"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22:B22"/>
    <mergeCell ref="A15:J16"/>
    <mergeCell ref="D10:F10"/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49"/>
      <c r="E6" s="251"/>
      <c r="F6" s="262" t="s">
        <v>92</v>
      </c>
      <c r="G6" s="263"/>
      <c r="H6" s="312"/>
      <c r="I6" s="313"/>
      <c r="J6" s="314"/>
      <c r="K6" s="267" t="s">
        <v>81</v>
      </c>
      <c r="L6" s="268"/>
      <c r="M6" s="269"/>
      <c r="N6" s="270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49"/>
      <c r="E8" s="250"/>
      <c r="F8" s="251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52"/>
      <c r="E10" s="253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22" t="s">
        <v>119</v>
      </c>
      <c r="B13" s="323"/>
      <c r="C13" s="324"/>
      <c r="D13" s="160"/>
      <c r="E13" s="21"/>
      <c r="F13" s="28"/>
      <c r="G13" s="42" t="s">
        <v>32</v>
      </c>
      <c r="H13" s="254"/>
      <c r="I13" s="255"/>
      <c r="J13" s="317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5" t="str">
        <f>+IF(D13="NO","INDICAR kVA TRAFO:","")</f>
        <v/>
      </c>
      <c r="B14" s="326"/>
      <c r="C14" s="327"/>
      <c r="D14" s="185"/>
      <c r="E14" s="41"/>
      <c r="F14" s="28"/>
      <c r="G14" s="42" t="s">
        <v>35</v>
      </c>
      <c r="H14" s="256"/>
      <c r="I14" s="257"/>
      <c r="J14" s="318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9"/>
      <c r="B15" s="320"/>
      <c r="C15" s="320"/>
      <c r="D15" s="320"/>
      <c r="E15" s="320"/>
      <c r="F15" s="320"/>
      <c r="G15" s="320"/>
      <c r="H15" s="320"/>
      <c r="I15" s="320"/>
      <c r="J15" s="321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44" t="s">
        <v>38</v>
      </c>
      <c r="B21" s="245"/>
      <c r="C21" s="52" t="s">
        <v>39</v>
      </c>
      <c r="D21" s="52" t="s">
        <v>40</v>
      </c>
      <c r="E21" s="53" t="s">
        <v>41</v>
      </c>
      <c r="F21" s="53" t="s">
        <v>42</v>
      </c>
      <c r="G21" s="244" t="s">
        <v>43</v>
      </c>
      <c r="H21" s="246"/>
      <c r="I21" s="246"/>
      <c r="J21" s="245"/>
      <c r="K21" s="247" t="s">
        <v>44</v>
      </c>
      <c r="L21" s="246" t="s">
        <v>45</v>
      </c>
      <c r="M21" s="246"/>
      <c r="N21" s="245"/>
      <c r="S21" s="236" t="s">
        <v>98</v>
      </c>
      <c r="T21" s="236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8"/>
      <c r="L22" s="53" t="s">
        <v>54</v>
      </c>
      <c r="M22" s="43" t="s">
        <v>55</v>
      </c>
      <c r="N22" s="57" t="s">
        <v>56</v>
      </c>
      <c r="S22" s="236"/>
      <c r="T22" s="236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5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6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6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6"/>
    </row>
    <row r="55" spans="1:20" ht="15.75" thickBot="1" x14ac:dyDescent="0.3">
      <c r="A55" s="239" t="s">
        <v>123</v>
      </c>
      <c r="B55" s="239"/>
      <c r="C55" s="239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1"/>
      <c r="N56" s="84" t="s">
        <v>61</v>
      </c>
    </row>
    <row r="57" spans="1:20" ht="15.75" thickBot="1" x14ac:dyDescent="0.3">
      <c r="A57" s="148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3"/>
      <c r="N57" s="85">
        <f>MAX(N23:N49)</f>
        <v>0</v>
      </c>
    </row>
  </sheetData>
  <mergeCells count="22">
    <mergeCell ref="M6:N6"/>
    <mergeCell ref="A55:C55"/>
    <mergeCell ref="D6:E6"/>
    <mergeCell ref="F6:G6"/>
    <mergeCell ref="H6:J6"/>
    <mergeCell ref="K6:L6"/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9" t="s">
        <v>11</v>
      </c>
      <c r="B1" s="330" t="s">
        <v>12</v>
      </c>
      <c r="C1" s="330"/>
      <c r="D1" s="331"/>
      <c r="E1" s="332" t="s">
        <v>13</v>
      </c>
      <c r="F1" s="333"/>
      <c r="G1" s="333"/>
      <c r="H1" s="334" t="s">
        <v>14</v>
      </c>
      <c r="I1" s="335"/>
      <c r="J1" s="335"/>
      <c r="K1" s="336" t="s">
        <v>15</v>
      </c>
      <c r="L1" s="337"/>
      <c r="M1" s="337"/>
    </row>
    <row r="2" spans="1:24" ht="45" x14ac:dyDescent="0.25">
      <c r="A2" s="329"/>
      <c r="B2" s="338" t="s">
        <v>16</v>
      </c>
      <c r="C2" s="339"/>
      <c r="D2" s="340"/>
      <c r="E2" s="341" t="s">
        <v>17</v>
      </c>
      <c r="F2" s="342"/>
      <c r="G2" s="343"/>
      <c r="H2" s="344" t="s">
        <v>17</v>
      </c>
      <c r="I2" s="345"/>
      <c r="J2" s="346"/>
      <c r="K2" s="347" t="s">
        <v>17</v>
      </c>
      <c r="L2" s="348"/>
      <c r="M2" s="349"/>
      <c r="P2" s="328" t="s">
        <v>161</v>
      </c>
      <c r="Q2" s="328"/>
      <c r="R2" s="328"/>
      <c r="S2" s="328"/>
      <c r="U2" s="202" t="s">
        <v>158</v>
      </c>
      <c r="V2" s="207" t="s">
        <v>157</v>
      </c>
      <c r="W2" s="202" t="s">
        <v>159</v>
      </c>
    </row>
    <row r="3" spans="1:24" ht="45" x14ac:dyDescent="0.25">
      <c r="A3" s="329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156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200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4">
        <f>+POWER(A4,0.91)</f>
        <v>1</v>
      </c>
      <c r="U4" s="204">
        <f t="shared" ref="U4:U35" si="0">+T4*$U$3</f>
        <v>8.1199999999999992</v>
      </c>
      <c r="V4" s="204">
        <f t="shared" ref="V4:V35" si="1">+T4*$V$3</f>
        <v>7.64</v>
      </c>
      <c r="W4" s="204">
        <f t="shared" ref="W4:W35" si="2">+T4*$W$3</f>
        <v>5.43</v>
      </c>
      <c r="X4" s="204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200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4">
        <f t="shared" ref="T5:T68" si="4">+POWER(A5,0.91)</f>
        <v>1.8790454984280236</v>
      </c>
      <c r="U5" s="204">
        <f t="shared" si="0"/>
        <v>15.25784944723555</v>
      </c>
      <c r="V5" s="204">
        <f t="shared" si="1"/>
        <v>14.355907607990099</v>
      </c>
      <c r="W5" s="204">
        <f t="shared" si="2"/>
        <v>10.203217056464167</v>
      </c>
      <c r="X5" s="204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200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4">
        <f t="shared" si="4"/>
        <v>2.717567510807211</v>
      </c>
      <c r="U6" s="204">
        <f t="shared" si="0"/>
        <v>22.066648187754552</v>
      </c>
      <c r="V6" s="204">
        <f t="shared" si="1"/>
        <v>20.762215782567093</v>
      </c>
      <c r="W6" s="204">
        <f t="shared" si="2"/>
        <v>14.756391583683156</v>
      </c>
      <c r="X6" s="204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200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4">
        <f t="shared" si="4"/>
        <v>3.5308119851626194</v>
      </c>
      <c r="U7" s="204">
        <f t="shared" si="0"/>
        <v>28.670193319520468</v>
      </c>
      <c r="V7" s="204">
        <f t="shared" si="1"/>
        <v>26.975403566642409</v>
      </c>
      <c r="W7" s="204">
        <f t="shared" si="2"/>
        <v>19.172309079433024</v>
      </c>
      <c r="X7" s="204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4">
        <f t="shared" si="4"/>
        <v>4.3257628239662056</v>
      </c>
      <c r="U8" s="204">
        <f t="shared" si="0"/>
        <v>35.125194130605585</v>
      </c>
      <c r="V8" s="204">
        <f t="shared" si="1"/>
        <v>33.048827975101808</v>
      </c>
      <c r="W8" s="204">
        <f t="shared" si="2"/>
        <v>23.488892134136496</v>
      </c>
      <c r="X8" s="204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4">
        <f t="shared" si="4"/>
        <v>5.1064329978565386</v>
      </c>
      <c r="U9" s="204">
        <f t="shared" si="0"/>
        <v>41.464235942595089</v>
      </c>
      <c r="V9" s="204">
        <f t="shared" si="1"/>
        <v>39.013148103623955</v>
      </c>
      <c r="W9" s="204">
        <f t="shared" si="2"/>
        <v>27.727931178361004</v>
      </c>
      <c r="X9" s="204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4">
        <f t="shared" si="4"/>
        <v>5.875424047012153</v>
      </c>
      <c r="U10" s="204">
        <f t="shared" si="0"/>
        <v>47.70844326173868</v>
      </c>
      <c r="V10" s="204">
        <f t="shared" si="1"/>
        <v>44.888239719172844</v>
      </c>
      <c r="W10" s="204">
        <f t="shared" si="2"/>
        <v>31.903552575275988</v>
      </c>
      <c r="X10" s="204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4">
        <f t="shared" si="4"/>
        <v>6.6345563665155334</v>
      </c>
      <c r="U11" s="204">
        <f t="shared" si="0"/>
        <v>53.872597696106126</v>
      </c>
      <c r="V11" s="204">
        <f t="shared" si="1"/>
        <v>50.688010640178675</v>
      </c>
      <c r="W11" s="204">
        <f t="shared" si="2"/>
        <v>36.025641070179347</v>
      </c>
      <c r="X11" s="204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4">
        <f t="shared" si="4"/>
        <v>7.3851731757949004</v>
      </c>
      <c r="U12" s="204">
        <f t="shared" si="0"/>
        <v>59.967606187454585</v>
      </c>
      <c r="V12" s="204">
        <f t="shared" si="1"/>
        <v>56.422723063073036</v>
      </c>
      <c r="W12" s="204">
        <f t="shared" si="2"/>
        <v>40.101490344566308</v>
      </c>
      <c r="X12" s="204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4">
        <f t="shared" si="4"/>
        <v>8.1283051616409931</v>
      </c>
      <c r="U13" s="204">
        <f t="shared" si="0"/>
        <v>66.001837912524863</v>
      </c>
      <c r="V13" s="204">
        <f t="shared" si="1"/>
        <v>62.100251434937185</v>
      </c>
      <c r="W13" s="204">
        <f t="shared" si="2"/>
        <v>44.136697027710589</v>
      </c>
      <c r="X13" s="204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4">
        <f t="shared" si="4"/>
        <v>8.8647673741080801</v>
      </c>
      <c r="U14" s="204">
        <f t="shared" si="0"/>
        <v>71.981911077757601</v>
      </c>
      <c r="V14" s="204">
        <f t="shared" si="1"/>
        <v>67.726822738185732</v>
      </c>
      <c r="W14" s="204">
        <f t="shared" si="2"/>
        <v>48.135686841406873</v>
      </c>
      <c r="X14" s="204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4">
        <f t="shared" si="4"/>
        <v>9.5952199376466449</v>
      </c>
      <c r="U15" s="204">
        <f t="shared" si="0"/>
        <v>77.913185893690752</v>
      </c>
      <c r="V15" s="204">
        <f t="shared" si="1"/>
        <v>73.307480323620368</v>
      </c>
      <c r="W15" s="204">
        <f t="shared" si="2"/>
        <v>52.102044261421277</v>
      </c>
      <c r="X15" s="204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4">
        <f t="shared" si="4"/>
        <v>10.320208004137706</v>
      </c>
      <c r="U16" s="204">
        <f t="shared" si="0"/>
        <v>83.800088993598166</v>
      </c>
      <c r="V16" s="204">
        <f t="shared" si="1"/>
        <v>78.846389151612073</v>
      </c>
      <c r="W16" s="204">
        <f t="shared" si="2"/>
        <v>56.038729462467742</v>
      </c>
      <c r="X16" s="204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4">
        <f t="shared" si="4"/>
        <v>11.040189106893946</v>
      </c>
      <c r="U17" s="204">
        <f t="shared" si="0"/>
        <v>89.646335547978836</v>
      </c>
      <c r="V17" s="204">
        <f t="shared" si="1"/>
        <v>84.347044776669748</v>
      </c>
      <c r="W17" s="204">
        <f t="shared" si="2"/>
        <v>59.948226850434125</v>
      </c>
      <c r="X17" s="204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4">
        <f t="shared" si="4"/>
        <v>11.75555250986821</v>
      </c>
      <c r="U18" s="204">
        <f t="shared" si="0"/>
        <v>95.455086380129856</v>
      </c>
      <c r="V18" s="204">
        <f t="shared" si="1"/>
        <v>89.812421175393112</v>
      </c>
      <c r="W18" s="204">
        <f t="shared" si="2"/>
        <v>63.832650128584376</v>
      </c>
      <c r="X18" s="204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4">
        <f t="shared" si="4"/>
        <v>12.466633274567998</v>
      </c>
      <c r="U19" s="204">
        <f t="shared" si="0"/>
        <v>101.22906218949214</v>
      </c>
      <c r="V19" s="204">
        <f t="shared" si="1"/>
        <v>95.245078217699501</v>
      </c>
      <c r="W19" s="204">
        <f t="shared" si="2"/>
        <v>67.693818680904229</v>
      </c>
      <c r="X19" s="204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4">
        <f t="shared" si="4"/>
        <v>13.173722728062264</v>
      </c>
      <c r="U20" s="204">
        <f t="shared" si="0"/>
        <v>106.97062855186557</v>
      </c>
      <c r="V20" s="204">
        <f t="shared" si="1"/>
        <v>100.6472416423957</v>
      </c>
      <c r="W20" s="204">
        <f t="shared" si="2"/>
        <v>71.533314413378093</v>
      </c>
      <c r="X20" s="204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4">
        <f t="shared" si="4"/>
        <v>13.87707641108879</v>
      </c>
      <c r="U21" s="204">
        <f t="shared" si="0"/>
        <v>112.68186045804097</v>
      </c>
      <c r="V21" s="204">
        <f t="shared" si="1"/>
        <v>106.02086378071836</v>
      </c>
      <c r="W21" s="204">
        <f t="shared" si="2"/>
        <v>75.352524912212132</v>
      </c>
      <c r="X21" s="204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4">
        <f t="shared" si="4"/>
        <v>14.576920219562425</v>
      </c>
      <c r="U22" s="204">
        <f t="shared" si="0"/>
        <v>118.36459218284688</v>
      </c>
      <c r="V22" s="204">
        <f t="shared" si="1"/>
        <v>111.36767047745693</v>
      </c>
      <c r="W22" s="204">
        <f t="shared" si="2"/>
        <v>79.152676792223957</v>
      </c>
      <c r="X22" s="204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4">
        <f t="shared" si="4"/>
        <v>15.273455223830776</v>
      </c>
      <c r="U23" s="204">
        <f t="shared" si="0"/>
        <v>124.0204564175059</v>
      </c>
      <c r="V23" s="204">
        <f t="shared" si="1"/>
        <v>116.68919791006712</v>
      </c>
      <c r="W23" s="204">
        <f t="shared" si="2"/>
        <v>82.934861865401118</v>
      </c>
      <c r="X23" s="204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4">
        <f t="shared" si="4"/>
        <v>15.966861502375647</v>
      </c>
      <c r="U24" s="204">
        <f t="shared" si="0"/>
        <v>129.65091539929023</v>
      </c>
      <c r="V24" s="204">
        <f t="shared" si="1"/>
        <v>121.98682187814994</v>
      </c>
      <c r="W24" s="204">
        <f t="shared" si="2"/>
        <v>86.700057957899759</v>
      </c>
      <c r="X24" s="204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4">
        <f t="shared" si="4"/>
        <v>16.657301228929406</v>
      </c>
      <c r="U25" s="204">
        <f t="shared" si="0"/>
        <v>135.25728597890676</v>
      </c>
      <c r="V25" s="204">
        <f t="shared" si="1"/>
        <v>127.26178138902065</v>
      </c>
      <c r="W25" s="204">
        <f t="shared" si="2"/>
        <v>90.449145673086662</v>
      </c>
      <c r="X25" s="204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4">
        <f t="shared" si="4"/>
        <v>17.344921185779352</v>
      </c>
      <c r="U26" s="204">
        <f t="shared" si="0"/>
        <v>140.84076002852834</v>
      </c>
      <c r="V26" s="204">
        <f t="shared" si="1"/>
        <v>132.51519785935423</v>
      </c>
      <c r="W26" s="204">
        <f t="shared" si="2"/>
        <v>94.182922038781882</v>
      </c>
      <c r="X26" s="204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4">
        <f t="shared" si="4"/>
        <v>18.029854830261755</v>
      </c>
      <c r="U27" s="204">
        <f t="shared" si="0"/>
        <v>146.40242122172543</v>
      </c>
      <c r="V27" s="204">
        <f t="shared" si="1"/>
        <v>137.7480909031998</v>
      </c>
      <c r="W27" s="204">
        <f t="shared" si="2"/>
        <v>97.90211172832133</v>
      </c>
      <c r="X27" s="204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4">
        <f t="shared" si="4"/>
        <v>18.712224009208079</v>
      </c>
      <c r="U28" s="204">
        <f t="shared" si="0"/>
        <v>151.94325895476959</v>
      </c>
      <c r="V28" s="204">
        <f t="shared" si="1"/>
        <v>142.96139143034972</v>
      </c>
      <c r="W28" s="204">
        <f t="shared" si="2"/>
        <v>101.60737636999986</v>
      </c>
      <c r="X28" s="204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4">
        <f t="shared" si="4"/>
        <v>19.392140393015811</v>
      </c>
      <c r="U29" s="204">
        <f t="shared" si="0"/>
        <v>157.46417999128838</v>
      </c>
      <c r="V29" s="204">
        <f t="shared" si="1"/>
        <v>148.15595260264078</v>
      </c>
      <c r="W29" s="204">
        <f t="shared" si="2"/>
        <v>105.29932233407585</v>
      </c>
      <c r="X29" s="204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4">
        <f t="shared" si="4"/>
        <v>20.069706684225125</v>
      </c>
      <c r="U30" s="204">
        <f t="shared" si="0"/>
        <v>162.966018275908</v>
      </c>
      <c r="V30" s="204">
        <f t="shared" si="1"/>
        <v>153.33255906747993</v>
      </c>
      <c r="W30" s="204">
        <f t="shared" si="2"/>
        <v>108.97850729534242</v>
      </c>
      <c r="X30" s="204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4">
        <f t="shared" si="4"/>
        <v>20.745017643103168</v>
      </c>
      <c r="U31" s="204">
        <f t="shared" si="0"/>
        <v>168.44954326199772</v>
      </c>
      <c r="V31" s="204">
        <f t="shared" si="1"/>
        <v>158.49193479330819</v>
      </c>
      <c r="W31" s="204">
        <f t="shared" si="2"/>
        <v>112.64544580205019</v>
      </c>
      <c r="X31" s="204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4">
        <f t="shared" si="4"/>
        <v>21.418160963493182</v>
      </c>
      <c r="U32" s="204">
        <f t="shared" si="0"/>
        <v>173.91546702356462</v>
      </c>
      <c r="V32" s="204">
        <f t="shared" si="1"/>
        <v>163.6347497610879</v>
      </c>
      <c r="W32" s="204">
        <f t="shared" si="2"/>
        <v>116.30061403176798</v>
      </c>
      <c r="X32" s="204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4">
        <f t="shared" si="4"/>
        <v>22.089218025202122</v>
      </c>
      <c r="U33" s="204">
        <f t="shared" si="0"/>
        <v>179.36445036464121</v>
      </c>
      <c r="V33" s="204">
        <f t="shared" si="1"/>
        <v>168.7616257125442</v>
      </c>
      <c r="W33" s="204">
        <f t="shared" si="2"/>
        <v>119.94445387684752</v>
      </c>
      <c r="X33" s="204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4">
        <f t="shared" si="4"/>
        <v>22.758264543867377</v>
      </c>
      <c r="U34" s="204">
        <f t="shared" si="0"/>
        <v>184.79710809620309</v>
      </c>
      <c r="V34" s="204">
        <f t="shared" si="1"/>
        <v>173.87314111514675</v>
      </c>
      <c r="W34" s="204">
        <f t="shared" si="2"/>
        <v>123.57737647319985</v>
      </c>
      <c r="X34" s="204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4">
        <f t="shared" si="4"/>
        <v>23.425371135130007</v>
      </c>
      <c r="U35" s="204">
        <f t="shared" si="0"/>
        <v>190.21401361725563</v>
      </c>
      <c r="V35" s="204">
        <f t="shared" si="1"/>
        <v>178.96983547239324</v>
      </c>
      <c r="W35" s="204">
        <f t="shared" si="2"/>
        <v>127.19976526375594</v>
      </c>
      <c r="X35" s="204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4">
        <f t="shared" si="4"/>
        <v>24.090603806739875</v>
      </c>
      <c r="U36" s="204">
        <f t="shared" ref="U36:U67" si="5">+T36*$U$3</f>
        <v>195.61570291072778</v>
      </c>
      <c r="V36" s="204">
        <f t="shared" ref="V36:V67" si="6">+T36*$V$3</f>
        <v>184.05221308349263</v>
      </c>
      <c r="W36" s="204">
        <f t="shared" ref="W36:W67" si="7">+T36*$W$3</f>
        <v>130.81197867059751</v>
      </c>
      <c r="X36" s="204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4">
        <f t="shared" si="4"/>
        <v>24.754024389704348</v>
      </c>
      <c r="U37" s="204">
        <f t="shared" si="5"/>
        <v>201.00267804439929</v>
      </c>
      <c r="V37" s="204">
        <f t="shared" si="6"/>
        <v>189.12074633734122</v>
      </c>
      <c r="W37" s="204">
        <f t="shared" si="7"/>
        <v>134.41435243609462</v>
      </c>
      <c r="X37" s="204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4">
        <f t="shared" si="4"/>
        <v>25.415690917602237</v>
      </c>
      <c r="U38" s="204">
        <f t="shared" si="5"/>
        <v>206.37541025093014</v>
      </c>
      <c r="V38" s="204">
        <f t="shared" si="6"/>
        <v>194.17587861048108</v>
      </c>
      <c r="W38" s="204">
        <f t="shared" si="7"/>
        <v>138.00720168258013</v>
      </c>
      <c r="X38" s="204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4">
        <f t="shared" si="4"/>
        <v>26.075657961598115</v>
      </c>
      <c r="U39" s="204">
        <f t="shared" si="5"/>
        <v>211.73434264817666</v>
      </c>
      <c r="V39" s="204">
        <f t="shared" si="6"/>
        <v>199.21802682660959</v>
      </c>
      <c r="W39" s="204">
        <f t="shared" si="7"/>
        <v>141.59082273147774</v>
      </c>
      <c r="X39" s="204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4">
        <f t="shared" si="4"/>
        <v>26.733976927417402</v>
      </c>
      <c r="U40" s="204">
        <f t="shared" si="5"/>
        <v>217.07989265062929</v>
      </c>
      <c r="V40" s="204">
        <f t="shared" si="6"/>
        <v>204.24758372546893</v>
      </c>
      <c r="W40" s="204">
        <f t="shared" si="7"/>
        <v>145.16549471587649</v>
      </c>
      <c r="X40" s="204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4">
        <f t="shared" si="4"/>
        <v>27.390696319513211</v>
      </c>
      <c r="U41" s="204">
        <f t="shared" si="5"/>
        <v>222.41245411444726</v>
      </c>
      <c r="V41" s="204">
        <f t="shared" si="6"/>
        <v>209.26491988108091</v>
      </c>
      <c r="W41" s="204">
        <f t="shared" si="7"/>
        <v>148.73148101495673</v>
      </c>
      <c r="X41" s="204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4">
        <f t="shared" si="4"/>
        <v>28.045861976817147</v>
      </c>
      <c r="U42" s="204">
        <f t="shared" si="5"/>
        <v>227.7323992517552</v>
      </c>
      <c r="V42" s="204">
        <f t="shared" si="6"/>
        <v>214.27038550288299</v>
      </c>
      <c r="W42" s="204">
        <f t="shared" si="7"/>
        <v>152.2890305341171</v>
      </c>
      <c r="X42" s="204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4">
        <f t="shared" si="4"/>
        <v>28.699517283781198</v>
      </c>
      <c r="U43" s="204">
        <f t="shared" si="5"/>
        <v>233.04008034430331</v>
      </c>
      <c r="V43" s="204">
        <f t="shared" si="6"/>
        <v>219.26431204808833</v>
      </c>
      <c r="W43" s="204">
        <f t="shared" si="7"/>
        <v>155.83837885093189</v>
      </c>
      <c r="X43" s="204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4">
        <f t="shared" si="4"/>
        <v>29.351703359853296</v>
      </c>
      <c r="U44" s="204">
        <f t="shared" si="5"/>
        <v>238.33583128200874</v>
      </c>
      <c r="V44" s="204">
        <f t="shared" si="6"/>
        <v>224.24701366927917</v>
      </c>
      <c r="W44" s="204">
        <f t="shared" si="7"/>
        <v>159.37974924400339</v>
      </c>
      <c r="X44" s="204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4">
        <f t="shared" si="4"/>
        <v>30.002459230062666</v>
      </c>
      <c r="U45" s="204">
        <f t="shared" si="5"/>
        <v>243.61996894810883</v>
      </c>
      <c r="V45" s="204">
        <f t="shared" si="6"/>
        <v>229.21878851767875</v>
      </c>
      <c r="W45" s="204">
        <f t="shared" si="7"/>
        <v>162.91335361924027</v>
      </c>
      <c r="X45" s="204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4">
        <f t="shared" si="4"/>
        <v>30.65182197900327</v>
      </c>
      <c r="U46" s="204">
        <f t="shared" si="5"/>
        <v>248.89279446950653</v>
      </c>
      <c r="V46" s="204">
        <f t="shared" si="6"/>
        <v>234.17991991958496</v>
      </c>
      <c r="W46" s="204">
        <f t="shared" si="7"/>
        <v>166.43939334598775</v>
      </c>
      <c r="X46" s="204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4">
        <f t="shared" si="4"/>
        <v>31.299826890179368</v>
      </c>
      <c r="U47" s="204">
        <f t="shared" si="5"/>
        <v>254.15459434825644</v>
      </c>
      <c r="V47" s="204">
        <f t="shared" si="6"/>
        <v>239.13067744097037</v>
      </c>
      <c r="W47" s="204">
        <f t="shared" si="7"/>
        <v>169.95806001367396</v>
      </c>
      <c r="X47" s="204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4">
        <f t="shared" si="4"/>
        <v>31.946507572406013</v>
      </c>
      <c r="U48" s="204">
        <f t="shared" si="5"/>
        <v>259.4056414879368</v>
      </c>
      <c r="V48" s="204">
        <f t="shared" si="6"/>
        <v>244.07131785318194</v>
      </c>
      <c r="W48" s="204">
        <f t="shared" si="7"/>
        <v>173.46953611816463</v>
      </c>
      <c r="X48" s="204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4">
        <f t="shared" si="4"/>
        <v>32.591896074727558</v>
      </c>
      <c r="U49" s="204">
        <f t="shared" si="5"/>
        <v>264.64619612678774</v>
      </c>
      <c r="V49" s="204">
        <f t="shared" si="6"/>
        <v>249.00208601091853</v>
      </c>
      <c r="W49" s="204">
        <f t="shared" si="7"/>
        <v>176.97399568577063</v>
      </c>
      <c r="X49" s="204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4">
        <f t="shared" si="4"/>
        <v>33.236022991124564</v>
      </c>
      <c r="U50" s="204">
        <f t="shared" si="5"/>
        <v>269.87650668793145</v>
      </c>
      <c r="V50" s="204">
        <f t="shared" si="6"/>
        <v>253.92321565219166</v>
      </c>
      <c r="W50" s="204">
        <f t="shared" si="7"/>
        <v>180.47160484180637</v>
      </c>
      <c r="X50" s="204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4">
        <f t="shared" si="4"/>
        <v>33.878917556114104</v>
      </c>
      <c r="U51" s="204">
        <f t="shared" si="5"/>
        <v>275.09681055564647</v>
      </c>
      <c r="V51" s="204">
        <f t="shared" si="6"/>
        <v>258.83493012871173</v>
      </c>
      <c r="W51" s="204">
        <f t="shared" si="7"/>
        <v>183.96252232969957</v>
      </c>
      <c r="X51" s="204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4">
        <f t="shared" si="4"/>
        <v>34.520607732208667</v>
      </c>
      <c r="U52" s="204">
        <f t="shared" si="5"/>
        <v>280.30733478553435</v>
      </c>
      <c r="V52" s="204">
        <f t="shared" si="6"/>
        <v>263.73744307407418</v>
      </c>
      <c r="W52" s="204">
        <f t="shared" si="7"/>
        <v>187.44689998589305</v>
      </c>
      <c r="X52" s="204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4">
        <f t="shared" si="4"/>
        <v>35.161120290079218</v>
      </c>
      <c r="U53" s="204">
        <f t="shared" si="5"/>
        <v>285.50829675544321</v>
      </c>
      <c r="V53" s="204">
        <f t="shared" si="6"/>
        <v>268.63095901620522</v>
      </c>
      <c r="W53" s="204">
        <f t="shared" si="7"/>
        <v>190.92488317513013</v>
      </c>
      <c r="X53" s="204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4">
        <f t="shared" si="4"/>
        <v>35.80048088216455</v>
      </c>
      <c r="U54" s="204">
        <f t="shared" si="5"/>
        <v>290.69990476317611</v>
      </c>
      <c r="V54" s="204">
        <f t="shared" si="6"/>
        <v>273.51567393973716</v>
      </c>
      <c r="W54" s="204">
        <f t="shared" si="7"/>
        <v>194.39661119015349</v>
      </c>
      <c r="X54" s="204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4">
        <f t="shared" si="4"/>
        <v>36.438714110380602</v>
      </c>
      <c r="U55" s="204">
        <f t="shared" si="5"/>
        <v>295.88235857629047</v>
      </c>
      <c r="V55" s="204">
        <f t="shared" si="6"/>
        <v>278.39177580330778</v>
      </c>
      <c r="W55" s="204">
        <f t="shared" si="7"/>
        <v>197.86221761936665</v>
      </c>
      <c r="X55" s="204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4">
        <f t="shared" si="4"/>
        <v>37.075843588507418</v>
      </c>
      <c r="U56" s="204">
        <f t="shared" si="5"/>
        <v>301.05584993868018</v>
      </c>
      <c r="V56" s="204">
        <f t="shared" si="6"/>
        <v>283.25944501619665</v>
      </c>
      <c r="W56" s="204">
        <f t="shared" si="7"/>
        <v>201.32183068559527</v>
      </c>
      <c r="X56" s="204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4">
        <f t="shared" si="4"/>
        <v>37.711891999764049</v>
      </c>
      <c r="U57" s="204">
        <f t="shared" si="5"/>
        <v>306.22056303808404</v>
      </c>
      <c r="V57" s="204">
        <f t="shared" si="6"/>
        <v>288.11885487819734</v>
      </c>
      <c r="W57" s="204">
        <f t="shared" si="7"/>
        <v>204.77557355871878</v>
      </c>
      <c r="X57" s="204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4">
        <f t="shared" si="4"/>
        <v>38.346881150025261</v>
      </c>
      <c r="U58" s="204">
        <f t="shared" si="5"/>
        <v>311.3766749382051</v>
      </c>
      <c r="V58" s="204">
        <f t="shared" si="6"/>
        <v>292.97017198619301</v>
      </c>
      <c r="W58" s="204">
        <f t="shared" si="7"/>
        <v>208.22356464463715</v>
      </c>
      <c r="X58" s="204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4">
        <f t="shared" si="4"/>
        <v>38.980832017082967</v>
      </c>
      <c r="U59" s="204">
        <f t="shared" si="5"/>
        <v>316.52435597871369</v>
      </c>
      <c r="V59" s="204">
        <f t="shared" si="6"/>
        <v>297.81355661051384</v>
      </c>
      <c r="W59" s="204">
        <f t="shared" si="7"/>
        <v>211.66591785276051</v>
      </c>
      <c r="X59" s="204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4">
        <f t="shared" si="4"/>
        <v>39.613764796311564</v>
      </c>
      <c r="U60" s="204">
        <f t="shared" si="5"/>
        <v>321.66377014604984</v>
      </c>
      <c r="V60" s="204">
        <f t="shared" si="6"/>
        <v>302.64916304382035</v>
      </c>
      <c r="W60" s="204">
        <f t="shared" si="7"/>
        <v>215.10274284397178</v>
      </c>
      <c r="X60" s="204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4">
        <f t="shared" si="4"/>
        <v>40.245698943058677</v>
      </c>
      <c r="U61" s="204">
        <f t="shared" si="5"/>
        <v>326.79507541763644</v>
      </c>
      <c r="V61" s="204">
        <f t="shared" si="6"/>
        <v>307.4771399249683</v>
      </c>
      <c r="W61" s="204">
        <f t="shared" si="7"/>
        <v>218.5341452608086</v>
      </c>
      <c r="X61" s="204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4">
        <f t="shared" si="4"/>
        <v>40.876653212047827</v>
      </c>
      <c r="U62" s="204">
        <f t="shared" si="5"/>
        <v>331.91842408182833</v>
      </c>
      <c r="V62" s="204">
        <f t="shared" si="6"/>
        <v>312.29763054004536</v>
      </c>
      <c r="W62" s="204">
        <f t="shared" si="7"/>
        <v>221.96022694141971</v>
      </c>
      <c r="X62" s="204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4">
        <f t="shared" si="4"/>
        <v>41.50664569405118</v>
      </c>
      <c r="U63" s="204">
        <f t="shared" si="5"/>
        <v>337.03396303569554</v>
      </c>
      <c r="V63" s="204">
        <f t="shared" si="6"/>
        <v>317.11077310255098</v>
      </c>
      <c r="W63" s="204">
        <f t="shared" si="7"/>
        <v>225.38108611869791</v>
      </c>
      <c r="X63" s="204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4">
        <f t="shared" si="4"/>
        <v>42.135693850063937</v>
      </c>
      <c r="U64" s="204">
        <f t="shared" si="5"/>
        <v>342.14183406251914</v>
      </c>
      <c r="V64" s="204">
        <f t="shared" si="6"/>
        <v>321.91670101448847</v>
      </c>
      <c r="W64" s="204">
        <f t="shared" si="7"/>
        <v>228.79681760584717</v>
      </c>
      <c r="X64" s="204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4">
        <f t="shared" si="4"/>
        <v>42.763814543188104</v>
      </c>
      <c r="U65" s="204">
        <f t="shared" si="5"/>
        <v>347.2421740906874</v>
      </c>
      <c r="V65" s="204">
        <f t="shared" si="6"/>
        <v>326.71554310995708</v>
      </c>
      <c r="W65" s="204">
        <f t="shared" si="7"/>
        <v>232.20751296951138</v>
      </c>
      <c r="X65" s="204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4">
        <f t="shared" si="4"/>
        <v>43.391024068414453</v>
      </c>
      <c r="U66" s="204">
        <f t="shared" si="5"/>
        <v>352.33511543552532</v>
      </c>
      <c r="V66" s="204">
        <f t="shared" si="6"/>
        <v>331.5074238826864</v>
      </c>
      <c r="W66" s="204">
        <f t="shared" si="7"/>
        <v>235.61326069149047</v>
      </c>
      <c r="X66" s="204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4">
        <f t="shared" si="4"/>
        <v>44.017338180471796</v>
      </c>
      <c r="U67" s="204">
        <f t="shared" si="5"/>
        <v>357.42078602543097</v>
      </c>
      <c r="V67" s="204">
        <f t="shared" si="6"/>
        <v>336.29246369880451</v>
      </c>
      <c r="W67" s="204">
        <f t="shared" si="7"/>
        <v>239.01414631996184</v>
      </c>
      <c r="X67" s="204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4">
        <f t="shared" si="4"/>
        <v>44.64277211989733</v>
      </c>
      <c r="U68" s="204">
        <f t="shared" ref="U68:U99" si="9">+T68*$U$3</f>
        <v>362.49930961356631</v>
      </c>
      <c r="V68" s="204">
        <f t="shared" ref="V68:V99" si="10">+T68*$V$3</f>
        <v>341.07077899601558</v>
      </c>
      <c r="W68" s="204">
        <f t="shared" ref="W68:W99" si="11">+T68*$W$3</f>
        <v>242.41025261104249</v>
      </c>
      <c r="X68" s="204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4">
        <f t="shared" ref="T69:T108" si="13">+POWER(A69,0.91)</f>
        <v>45.267340637467541</v>
      </c>
      <c r="U69" s="204">
        <f t="shared" si="9"/>
        <v>367.57080597623639</v>
      </c>
      <c r="V69" s="204">
        <f t="shared" si="10"/>
        <v>345.84248247025198</v>
      </c>
      <c r="W69" s="204">
        <f t="shared" si="11"/>
        <v>245.80165966144872</v>
      </c>
      <c r="X69" s="204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4">
        <f t="shared" si="13"/>
        <v>45.891058017115768</v>
      </c>
      <c r="U70" s="204">
        <f t="shared" si="9"/>
        <v>372.63539109897999</v>
      </c>
      <c r="V70" s="204">
        <f t="shared" si="10"/>
        <v>350.60768325076447</v>
      </c>
      <c r="W70" s="204">
        <f t="shared" si="11"/>
        <v>249.1884450329386</v>
      </c>
      <c r="X70" s="204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4">
        <f t="shared" si="13"/>
        <v>46.513938097451451</v>
      </c>
      <c r="U71" s="204">
        <f t="shared" si="9"/>
        <v>377.69317735130574</v>
      </c>
      <c r="V71" s="204">
        <f t="shared" si="10"/>
        <v>355.36648706452905</v>
      </c>
      <c r="W71" s="204">
        <f t="shared" si="11"/>
        <v>252.57068386916137</v>
      </c>
      <c r="X71" s="204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4">
        <f t="shared" si="13"/>
        <v>47.135994291985675</v>
      </c>
      <c r="U72" s="204">
        <f t="shared" si="9"/>
        <v>382.74427365092362</v>
      </c>
      <c r="V72" s="204">
        <f t="shared" si="10"/>
        <v>360.11899639077052</v>
      </c>
      <c r="W72" s="204">
        <f t="shared" si="11"/>
        <v>255.94844900548219</v>
      </c>
      <c r="X72" s="204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4">
        <f t="shared" si="13"/>
        <v>47.7572396081585</v>
      </c>
      <c r="U73" s="204">
        <f t="shared" si="9"/>
        <v>387.788785618247</v>
      </c>
      <c r="V73" s="204">
        <f t="shared" si="10"/>
        <v>364.86531060633092</v>
      </c>
      <c r="W73" s="204">
        <f t="shared" si="11"/>
        <v>259.32181107230065</v>
      </c>
      <c r="X73" s="204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4">
        <f t="shared" si="13"/>
        <v>48.377686665255027</v>
      </c>
      <c r="U74" s="204">
        <f t="shared" si="9"/>
        <v>392.82681572187079</v>
      </c>
      <c r="V74" s="204">
        <f t="shared" si="10"/>
        <v>369.60552612254838</v>
      </c>
      <c r="W74" s="204">
        <f t="shared" si="11"/>
        <v>262.69083859233479</v>
      </c>
      <c r="X74" s="204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4">
        <f t="shared" si="13"/>
        <v>48.997347711289784</v>
      </c>
      <c r="U75" s="204">
        <f t="shared" si="9"/>
        <v>397.85846341567299</v>
      </c>
      <c r="V75" s="204">
        <f t="shared" si="10"/>
        <v>374.33973651425396</v>
      </c>
      <c r="W75" s="204">
        <f t="shared" si="11"/>
        <v>266.0555980723035</v>
      </c>
      <c r="X75" s="204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4">
        <f t="shared" si="13"/>
        <v>49.616234638932568</v>
      </c>
      <c r="U76" s="204">
        <f t="shared" si="9"/>
        <v>402.8838252681324</v>
      </c>
      <c r="V76" s="204">
        <f t="shared" si="10"/>
        <v>379.0680326414448</v>
      </c>
      <c r="W76" s="204">
        <f t="shared" si="11"/>
        <v>269.41615408940385</v>
      </c>
      <c r="X76" s="204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4">
        <f t="shared" si="13"/>
        <v>50.234359000542355</v>
      </c>
      <c r="U77" s="204">
        <f t="shared" si="9"/>
        <v>407.90299508440387</v>
      </c>
      <c r="V77" s="204">
        <f t="shared" si="10"/>
        <v>383.79050276414358</v>
      </c>
      <c r="W77" s="204">
        <f t="shared" si="11"/>
        <v>272.77256937294499</v>
      </c>
      <c r="X77" s="204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4">
        <f t="shared" si="13"/>
        <v>50.851732022370506</v>
      </c>
      <c r="U78" s="204">
        <f t="shared" si="9"/>
        <v>412.91606402164848</v>
      </c>
      <c r="V78" s="204">
        <f t="shared" si="10"/>
        <v>388.50723265091062</v>
      </c>
      <c r="W78" s="204">
        <f t="shared" si="11"/>
        <v>276.12490488147182</v>
      </c>
      <c r="X78" s="204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4">
        <f t="shared" si="13"/>
        <v>51.468364617990346</v>
      </c>
      <c r="U79" s="204">
        <f t="shared" si="9"/>
        <v>417.92312069808156</v>
      </c>
      <c r="V79" s="204">
        <f t="shared" si="10"/>
        <v>393.21830568144622</v>
      </c>
      <c r="W79" s="204">
        <f t="shared" si="11"/>
        <v>279.47321987568756</v>
      </c>
      <c r="X79" s="204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4">
        <f t="shared" si="13"/>
        <v>52.084267401003423</v>
      </c>
      <c r="U80" s="204">
        <f t="shared" si="9"/>
        <v>422.92425129614776</v>
      </c>
      <c r="V80" s="204">
        <f t="shared" si="10"/>
        <v>397.92380294366615</v>
      </c>
      <c r="W80" s="204">
        <f t="shared" si="11"/>
        <v>282.81757198744856</v>
      </c>
      <c r="X80" s="204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4">
        <f t="shared" si="13"/>
        <v>52.699450697071924</v>
      </c>
      <c r="U81" s="204">
        <f t="shared" si="9"/>
        <v>427.91953966022396</v>
      </c>
      <c r="V81" s="204">
        <f t="shared" si="10"/>
        <v>402.62380332562947</v>
      </c>
      <c r="W81" s="204">
        <f t="shared" si="11"/>
        <v>286.15801728510053</v>
      </c>
      <c r="X81" s="204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4">
        <f t="shared" si="13"/>
        <v>53.313924555320277</v>
      </c>
      <c r="U82" s="204">
        <f t="shared" si="9"/>
        <v>432.90906738920063</v>
      </c>
      <c r="V82" s="204">
        <f t="shared" si="10"/>
        <v>407.31838360264692</v>
      </c>
      <c r="W82" s="204">
        <f t="shared" si="11"/>
        <v>289.4946103353891</v>
      </c>
      <c r="X82" s="204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4">
        <f t="shared" si="13"/>
        <v>53.927698759146317</v>
      </c>
      <c r="U83" s="204">
        <f t="shared" si="9"/>
        <v>437.89291392426804</v>
      </c>
      <c r="V83" s="204">
        <f t="shared" si="10"/>
        <v>412.00761851987784</v>
      </c>
      <c r="W83" s="204">
        <f t="shared" si="11"/>
        <v>292.82740426216446</v>
      </c>
      <c r="X83" s="204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4">
        <f t="shared" si="13"/>
        <v>54.540782836480538</v>
      </c>
      <c r="U84" s="204">
        <f t="shared" si="9"/>
        <v>442.87115663222193</v>
      </c>
      <c r="V84" s="204">
        <f t="shared" si="10"/>
        <v>416.69158087071128</v>
      </c>
      <c r="W84" s="204">
        <f t="shared" si="11"/>
        <v>296.1564508020893</v>
      </c>
      <c r="X84" s="204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4">
        <f t="shared" si="13"/>
        <v>55.153186069527024</v>
      </c>
      <c r="U85" s="204">
        <f t="shared" si="9"/>
        <v>447.84387088455941</v>
      </c>
      <c r="V85" s="204">
        <f t="shared" si="10"/>
        <v>421.37034157118643</v>
      </c>
      <c r="W85" s="204">
        <f t="shared" si="11"/>
        <v>299.48180035753171</v>
      </c>
      <c r="X85" s="204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4">
        <f t="shared" si="13"/>
        <v>55.764917504019301</v>
      </c>
      <c r="U86" s="204">
        <f t="shared" si="9"/>
        <v>452.81113013263666</v>
      </c>
      <c r="V86" s="204">
        <f t="shared" si="10"/>
        <v>426.04396973070743</v>
      </c>
      <c r="W86" s="204">
        <f t="shared" si="11"/>
        <v>302.8035020468248</v>
      </c>
      <c r="X86" s="204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4">
        <f t="shared" si="13"/>
        <v>56.375985958019527</v>
      </c>
      <c r="U87" s="204">
        <f t="shared" si="9"/>
        <v>457.77300597911852</v>
      </c>
      <c r="V87" s="204">
        <f t="shared" si="10"/>
        <v>430.71253271926918</v>
      </c>
      <c r="W87" s="204">
        <f t="shared" si="11"/>
        <v>306.12160375204604</v>
      </c>
      <c r="X87" s="204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4">
        <f t="shared" si="13"/>
        <v>56.986400030290412</v>
      </c>
      <c r="U88" s="204">
        <f t="shared" si="9"/>
        <v>462.72956824595809</v>
      </c>
      <c r="V88" s="204">
        <f t="shared" si="10"/>
        <v>435.37609623141873</v>
      </c>
      <c r="W88" s="204">
        <f t="shared" si="11"/>
        <v>309.43615216447694</v>
      </c>
      <c r="X88" s="204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4">
        <f t="shared" si="13"/>
        <v>57.596168108263242</v>
      </c>
      <c r="U89" s="204">
        <f t="shared" si="9"/>
        <v>467.68088503909746</v>
      </c>
      <c r="V89" s="204">
        <f t="shared" si="10"/>
        <v>440.03472434713115</v>
      </c>
      <c r="W89" s="204">
        <f t="shared" si="11"/>
        <v>312.74719282786941</v>
      </c>
      <c r="X89" s="204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4">
        <f t="shared" si="13"/>
        <v>58.205298375628338</v>
      </c>
      <c r="U90" s="204">
        <f t="shared" si="9"/>
        <v>472.62702281010206</v>
      </c>
      <c r="V90" s="204">
        <f t="shared" si="10"/>
        <v>444.68847958980047</v>
      </c>
      <c r="W90" s="204">
        <f t="shared" si="11"/>
        <v>316.05477017966189</v>
      </c>
      <c r="X90" s="204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4">
        <f t="shared" si="13"/>
        <v>58.813798819567964</v>
      </c>
      <c r="U91" s="204">
        <f t="shared" si="9"/>
        <v>477.5680464148918</v>
      </c>
      <c r="V91" s="204">
        <f t="shared" si="10"/>
        <v>449.33742298149923</v>
      </c>
      <c r="W91" s="204">
        <f t="shared" si="11"/>
        <v>319.35892759025404</v>
      </c>
      <c r="X91" s="204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4">
        <f t="shared" si="13"/>
        <v>59.421677237653576</v>
      </c>
      <c r="U92" s="204">
        <f t="shared" si="9"/>
        <v>482.50401916974698</v>
      </c>
      <c r="V92" s="204">
        <f t="shared" si="10"/>
        <v>453.98161409567331</v>
      </c>
      <c r="W92" s="204">
        <f t="shared" si="11"/>
        <v>322.6597074004589</v>
      </c>
      <c r="X92" s="204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4">
        <f t="shared" si="13"/>
        <v>60.028941244426299</v>
      </c>
      <c r="U93" s="204">
        <f t="shared" si="9"/>
        <v>487.43500290474151</v>
      </c>
      <c r="V93" s="204">
        <f t="shared" si="10"/>
        <v>458.62111110741688</v>
      </c>
      <c r="W93" s="204">
        <f t="shared" si="11"/>
        <v>325.95715095723477</v>
      </c>
      <c r="X93" s="204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4">
        <f t="shared" si="13"/>
        <v>60.635598277677921</v>
      </c>
      <c r="U94" s="204">
        <f t="shared" si="9"/>
        <v>492.36105801474469</v>
      </c>
      <c r="V94" s="204">
        <f t="shared" si="10"/>
        <v>463.25597084145932</v>
      </c>
      <c r="W94" s="204">
        <f t="shared" si="11"/>
        <v>329.25129864779109</v>
      </c>
      <c r="X94" s="204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4">
        <f t="shared" si="13"/>
        <v>61.241655604450784</v>
      </c>
      <c r="U95" s="204">
        <f t="shared" si="9"/>
        <v>497.28224350814031</v>
      </c>
      <c r="V95" s="204">
        <f t="shared" si="10"/>
        <v>467.88624881800399</v>
      </c>
      <c r="W95" s="204">
        <f t="shared" si="11"/>
        <v>332.54218993216773</v>
      </c>
      <c r="X95" s="204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4">
        <f t="shared" si="13"/>
        <v>61.847120326769669</v>
      </c>
      <c r="U96" s="204">
        <f t="shared" si="9"/>
        <v>502.19861705336967</v>
      </c>
      <c r="V96" s="204">
        <f t="shared" si="10"/>
        <v>472.51199929652023</v>
      </c>
      <c r="W96" s="204">
        <f t="shared" si="11"/>
        <v>335.82986337435926</v>
      </c>
      <c r="X96" s="204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4">
        <f t="shared" si="13"/>
        <v>62.451999387122903</v>
      </c>
      <c r="U97" s="204">
        <f t="shared" si="9"/>
        <v>507.11023502343795</v>
      </c>
      <c r="V97" s="204">
        <f t="shared" si="10"/>
        <v>477.13327531761894</v>
      </c>
      <c r="W97" s="204">
        <f t="shared" si="11"/>
        <v>339.11435667207735</v>
      </c>
      <c r="X97" s="204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4">
        <f t="shared" si="13"/>
        <v>63.05629957370445</v>
      </c>
      <c r="U98" s="204">
        <f t="shared" si="9"/>
        <v>512.0171525384801</v>
      </c>
      <c r="V98" s="204">
        <f t="shared" si="10"/>
        <v>481.75012874310198</v>
      </c>
      <c r="W98" s="204">
        <f t="shared" si="11"/>
        <v>342.39570668521515</v>
      </c>
      <c r="X98" s="204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4">
        <f t="shared" si="13"/>
        <v>63.660027525430337</v>
      </c>
      <c r="U99" s="204">
        <f t="shared" si="9"/>
        <v>516.91942350649424</v>
      </c>
      <c r="V99" s="204">
        <f t="shared" si="10"/>
        <v>486.36261029428778</v>
      </c>
      <c r="W99" s="204">
        <f t="shared" si="11"/>
        <v>345.67394946308673</v>
      </c>
      <c r="X99" s="204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4">
        <f t="shared" si="13"/>
        <v>64.263189736741936</v>
      </c>
      <c r="U100" s="204">
        <f t="shared" ref="U100:U108" si="14">+T100*$U$3</f>
        <v>521.8171006623445</v>
      </c>
      <c r="V100" s="204">
        <f t="shared" ref="V100:V108" si="15">+T100*$V$3</f>
        <v>490.97076958870838</v>
      </c>
      <c r="W100" s="204">
        <f t="shared" ref="W100:W108" si="16">+T100*$W$3</f>
        <v>348.94912027050867</v>
      </c>
      <c r="X100" s="204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4">
        <f t="shared" si="13"/>
        <v>64.865792562206337</v>
      </c>
      <c r="U101" s="204">
        <f t="shared" si="14"/>
        <v>526.71023560511537</v>
      </c>
      <c r="V101" s="204">
        <f t="shared" si="15"/>
        <v>495.5746551752564</v>
      </c>
      <c r="W101" s="204">
        <f t="shared" si="16"/>
        <v>352.2212536127804</v>
      </c>
      <c r="X101" s="204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4">
        <f t="shared" si="13"/>
        <v>65.467842220924794</v>
      </c>
      <c r="U102" s="204">
        <f t="shared" si="14"/>
        <v>531.59887883390923</v>
      </c>
      <c r="V102" s="204">
        <f t="shared" si="15"/>
        <v>500.17431456786539</v>
      </c>
      <c r="W102" s="204">
        <f t="shared" si="16"/>
        <v>355.49038325962164</v>
      </c>
      <c r="X102" s="204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4">
        <f t="shared" si="13"/>
        <v>66.069344800759623</v>
      </c>
      <c r="U103" s="204">
        <f t="shared" si="14"/>
        <v>536.48307978216803</v>
      </c>
      <c r="V103" s="204">
        <f t="shared" si="15"/>
        <v>504.7697942778035</v>
      </c>
      <c r="W103" s="204">
        <f t="shared" si="16"/>
        <v>358.75654226812475</v>
      </c>
      <c r="X103" s="204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4">
        <f t="shared" si="13"/>
        <v>95.552718143903505</v>
      </c>
      <c r="U104" s="204">
        <f t="shared" si="14"/>
        <v>775.88807132849638</v>
      </c>
      <c r="V104" s="204">
        <f t="shared" si="15"/>
        <v>730.02276661942278</v>
      </c>
      <c r="W104" s="204">
        <f t="shared" si="16"/>
        <v>518.85125952139606</v>
      </c>
      <c r="X104" s="204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4">
        <f t="shared" si="13"/>
        <v>124.14730493195626</v>
      </c>
      <c r="U105" s="204">
        <f t="shared" si="14"/>
        <v>1008.0761160474847</v>
      </c>
      <c r="V105" s="204">
        <f t="shared" si="15"/>
        <v>948.48540968014572</v>
      </c>
      <c r="W105" s="204">
        <f t="shared" si="16"/>
        <v>674.11986578052245</v>
      </c>
      <c r="X105" s="204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4">
        <f t="shared" si="13"/>
        <v>152.09866699982851</v>
      </c>
      <c r="U106" s="204">
        <f t="shared" si="14"/>
        <v>1235.0411760386073</v>
      </c>
      <c r="V106" s="204">
        <f t="shared" si="15"/>
        <v>1162.0338158786897</v>
      </c>
      <c r="W106" s="204">
        <f t="shared" si="16"/>
        <v>825.89576180906874</v>
      </c>
      <c r="X106" s="204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4">
        <f t="shared" si="13"/>
        <v>179.54790489086352</v>
      </c>
      <c r="U107" s="204">
        <f t="shared" si="14"/>
        <v>1457.9289877138117</v>
      </c>
      <c r="V107" s="204">
        <f t="shared" si="15"/>
        <v>1371.7459933661974</v>
      </c>
      <c r="W107" s="204">
        <f t="shared" si="16"/>
        <v>974.94512355738891</v>
      </c>
      <c r="X107" s="204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4">
        <f t="shared" si="13"/>
        <v>206.5864916722183</v>
      </c>
      <c r="U108" s="204">
        <f t="shared" si="14"/>
        <v>1677.4823123784124</v>
      </c>
      <c r="V108" s="204">
        <f t="shared" si="15"/>
        <v>1578.3207963757477</v>
      </c>
      <c r="W108" s="204">
        <f t="shared" si="16"/>
        <v>1121.7646497801454</v>
      </c>
      <c r="X108" s="204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9" t="s">
        <v>11</v>
      </c>
      <c r="B1" s="330" t="s">
        <v>12</v>
      </c>
      <c r="C1" s="330"/>
      <c r="D1" s="331"/>
      <c r="E1" s="332" t="s">
        <v>13</v>
      </c>
      <c r="F1" s="333"/>
      <c r="G1" s="333"/>
      <c r="H1" s="334" t="s">
        <v>14</v>
      </c>
      <c r="I1" s="335"/>
      <c r="J1" s="335"/>
      <c r="K1" s="336" t="s">
        <v>15</v>
      </c>
      <c r="L1" s="337"/>
      <c r="M1" s="337"/>
    </row>
    <row r="2" spans="1:24" ht="26.25" customHeight="1" x14ac:dyDescent="0.25">
      <c r="A2" s="329"/>
      <c r="B2" s="338" t="s">
        <v>16</v>
      </c>
      <c r="C2" s="339"/>
      <c r="D2" s="340"/>
      <c r="E2" s="341" t="s">
        <v>17</v>
      </c>
      <c r="F2" s="342"/>
      <c r="G2" s="343"/>
      <c r="H2" s="344" t="s">
        <v>17</v>
      </c>
      <c r="I2" s="345"/>
      <c r="J2" s="346"/>
      <c r="K2" s="347" t="s">
        <v>17</v>
      </c>
      <c r="L2" s="348"/>
      <c r="M2" s="349"/>
      <c r="P2" s="328" t="s">
        <v>161</v>
      </c>
      <c r="Q2" s="328"/>
      <c r="R2" s="328"/>
      <c r="S2" s="328"/>
      <c r="U2" s="202" t="s">
        <v>158</v>
      </c>
      <c r="V2" s="207" t="s">
        <v>157</v>
      </c>
      <c r="W2" s="202" t="s">
        <v>159</v>
      </c>
    </row>
    <row r="3" spans="1:24" ht="38.25" x14ac:dyDescent="0.25">
      <c r="A3" s="329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156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4">
        <v>1</v>
      </c>
      <c r="P4" s="10">
        <v>8.9088890399869562</v>
      </c>
      <c r="Q4" s="11">
        <v>3.4295581157762562</v>
      </c>
      <c r="R4" s="203">
        <v>2.5040509230184078</v>
      </c>
      <c r="S4" s="14">
        <v>1.7524124640425989</v>
      </c>
      <c r="T4" s="204">
        <f>+POWER(A4,0.91)</f>
        <v>1</v>
      </c>
      <c r="U4" s="204">
        <f>+T4*$U$3</f>
        <v>8.1199999999999992</v>
      </c>
      <c r="V4" s="204">
        <f>+T4*$V$3</f>
        <v>7.64</v>
      </c>
      <c r="W4" s="204">
        <f>+T4*$W$3</f>
        <v>5.43</v>
      </c>
      <c r="X4" s="201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4">
        <v>2</v>
      </c>
      <c r="P5" s="10">
        <v>16.082077694815176</v>
      </c>
      <c r="Q5" s="11">
        <v>6.1242805864898839</v>
      </c>
      <c r="R5" s="203">
        <v>4.45358084893161</v>
      </c>
      <c r="S5" s="14">
        <v>3.1100764831756944</v>
      </c>
      <c r="T5" s="204">
        <f t="shared" ref="T5:T68" si="0">+POWER(A5,0.91)</f>
        <v>1.8790454984280236</v>
      </c>
      <c r="U5" s="204">
        <f t="shared" ref="U5:U68" si="1">+T5*$U$3</f>
        <v>15.25784944723555</v>
      </c>
      <c r="V5" s="204">
        <f t="shared" ref="V5:V68" si="2">+T5*$V$3</f>
        <v>14.355907607990099</v>
      </c>
      <c r="W5" s="204">
        <f t="shared" ref="W5:W68" si="3">+T5*$W$3</f>
        <v>10.203217056464167</v>
      </c>
      <c r="X5" s="201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4">
        <v>3</v>
      </c>
      <c r="P6" s="10">
        <v>21.981602599249506</v>
      </c>
      <c r="Q6" s="11">
        <v>8.3081621552410247</v>
      </c>
      <c r="R6" s="203">
        <v>6.0245854687836298</v>
      </c>
      <c r="S6" s="14">
        <v>4.2007800463973552</v>
      </c>
      <c r="T6" s="204">
        <f t="shared" si="0"/>
        <v>2.717567510807211</v>
      </c>
      <c r="U6" s="204">
        <f t="shared" si="1"/>
        <v>22.066648187754552</v>
      </c>
      <c r="V6" s="204">
        <f t="shared" si="2"/>
        <v>20.762215782567093</v>
      </c>
      <c r="W6" s="204">
        <f t="shared" si="3"/>
        <v>14.756391583683156</v>
      </c>
      <c r="X6" s="201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4">
        <v>4</v>
      </c>
      <c r="P7" s="10">
        <v>26.979045657097046</v>
      </c>
      <c r="Q7" s="11">
        <v>10.07323138354697</v>
      </c>
      <c r="R7" s="203">
        <v>7.2704912554218311</v>
      </c>
      <c r="S7" s="14">
        <v>5.0568025059035087</v>
      </c>
      <c r="T7" s="204">
        <f t="shared" si="0"/>
        <v>3.5308119851626194</v>
      </c>
      <c r="U7" s="204">
        <f t="shared" si="1"/>
        <v>28.670193319520468</v>
      </c>
      <c r="V7" s="204">
        <f t="shared" si="2"/>
        <v>26.975403566642409</v>
      </c>
      <c r="W7" s="204">
        <f t="shared" si="3"/>
        <v>19.172309079433024</v>
      </c>
      <c r="X7" s="201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203">
        <v>8.3909679778661879</v>
      </c>
      <c r="S8" s="14">
        <v>5.8301035101772474</v>
      </c>
      <c r="T8" s="204">
        <f t="shared" si="0"/>
        <v>4.3257628239662056</v>
      </c>
      <c r="U8" s="204">
        <f t="shared" si="1"/>
        <v>35.125194130605585</v>
      </c>
      <c r="V8" s="204">
        <f t="shared" si="2"/>
        <v>33.048827975101808</v>
      </c>
      <c r="W8" s="204">
        <f t="shared" si="3"/>
        <v>23.488892134136496</v>
      </c>
      <c r="X8" s="201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203">
        <v>9.4048479446611903</v>
      </c>
      <c r="S9" s="14">
        <v>6.5302678285097029</v>
      </c>
      <c r="T9" s="204">
        <f t="shared" si="0"/>
        <v>5.1064329978565386</v>
      </c>
      <c r="U9" s="204">
        <f t="shared" si="1"/>
        <v>41.464235942595089</v>
      </c>
      <c r="V9" s="204">
        <f t="shared" si="2"/>
        <v>39.013148103623955</v>
      </c>
      <c r="W9" s="204">
        <f t="shared" si="3"/>
        <v>27.727931178361004</v>
      </c>
      <c r="X9" s="201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203">
        <v>10.414320950457714</v>
      </c>
      <c r="S10" s="14">
        <v>7.2352986396401375</v>
      </c>
      <c r="T10" s="204">
        <f t="shared" si="0"/>
        <v>5.875424047012153</v>
      </c>
      <c r="U10" s="204">
        <f t="shared" si="1"/>
        <v>47.70844326173868</v>
      </c>
      <c r="V10" s="204">
        <f t="shared" si="2"/>
        <v>44.888239719172844</v>
      </c>
      <c r="W10" s="204">
        <f t="shared" si="3"/>
        <v>31.903552575275988</v>
      </c>
      <c r="X10" s="201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203">
        <v>11.371521504674886</v>
      </c>
      <c r="S11" s="14">
        <v>7.9043714513824685</v>
      </c>
      <c r="T11" s="204">
        <f t="shared" si="0"/>
        <v>6.6345563665155334</v>
      </c>
      <c r="U11" s="204">
        <f t="shared" si="1"/>
        <v>53.872597696106126</v>
      </c>
      <c r="V11" s="204">
        <f t="shared" si="2"/>
        <v>50.688010640178675</v>
      </c>
      <c r="W11" s="204">
        <f t="shared" si="3"/>
        <v>36.025641070179347</v>
      </c>
      <c r="X11" s="201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203">
        <v>12.291373801368287</v>
      </c>
      <c r="S12" s="14">
        <v>8.5477155893255699</v>
      </c>
      <c r="T12" s="204">
        <f t="shared" si="0"/>
        <v>7.3851731757949004</v>
      </c>
      <c r="U12" s="204">
        <f t="shared" si="1"/>
        <v>59.967606187454585</v>
      </c>
      <c r="V12" s="204">
        <f t="shared" si="2"/>
        <v>56.422723063073036</v>
      </c>
      <c r="W12" s="204">
        <f t="shared" si="3"/>
        <v>40.101490344566308</v>
      </c>
      <c r="X12" s="201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203">
        <v>13.18405903993979</v>
      </c>
      <c r="S13" s="14">
        <v>9.1723123636023196</v>
      </c>
      <c r="T13" s="204">
        <f t="shared" si="0"/>
        <v>8.1283051616409931</v>
      </c>
      <c r="U13" s="204">
        <f t="shared" si="1"/>
        <v>66.001837912524863</v>
      </c>
      <c r="V13" s="204">
        <f t="shared" si="2"/>
        <v>62.100251434937185</v>
      </c>
      <c r="W13" s="204">
        <f t="shared" si="3"/>
        <v>44.136697027710589</v>
      </c>
      <c r="X13" s="201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203">
        <v>14.056612950087551</v>
      </c>
      <c r="S14" s="14">
        <v>9.7829888581836446</v>
      </c>
      <c r="T14" s="204">
        <f t="shared" si="0"/>
        <v>8.8647673741080801</v>
      </c>
      <c r="U14" s="204">
        <f t="shared" si="1"/>
        <v>71.981911077757601</v>
      </c>
      <c r="V14" s="204">
        <f t="shared" si="2"/>
        <v>67.726822738185732</v>
      </c>
      <c r="W14" s="204">
        <f t="shared" si="3"/>
        <v>48.135686841406873</v>
      </c>
      <c r="X14" s="201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203">
        <v>14.913972147864998</v>
      </c>
      <c r="S15" s="14">
        <v>10.383134264162626</v>
      </c>
      <c r="T15" s="204">
        <f t="shared" si="0"/>
        <v>9.5952199376466449</v>
      </c>
      <c r="U15" s="204">
        <f t="shared" si="1"/>
        <v>77.913185893690752</v>
      </c>
      <c r="V15" s="204">
        <f t="shared" si="2"/>
        <v>73.307480323620368</v>
      </c>
      <c r="W15" s="204">
        <f t="shared" si="3"/>
        <v>52.102044261421277</v>
      </c>
      <c r="X15" s="201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203">
        <v>15.759656906790571</v>
      </c>
      <c r="S16" s="14">
        <v>10.975167308367933</v>
      </c>
      <c r="T16" s="204">
        <f t="shared" si="0"/>
        <v>10.320208004137706</v>
      </c>
      <c r="U16" s="204">
        <f t="shared" si="1"/>
        <v>83.800088993598166</v>
      </c>
      <c r="V16" s="204">
        <f t="shared" si="2"/>
        <v>78.846389151612073</v>
      </c>
      <c r="W16" s="204">
        <f t="shared" si="3"/>
        <v>56.038729462467742</v>
      </c>
      <c r="X16" s="201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203">
        <v>16.596218780692613</v>
      </c>
      <c r="S17" s="14">
        <v>11.560842727186046</v>
      </c>
      <c r="T17" s="204">
        <f t="shared" si="0"/>
        <v>11.040189106893946</v>
      </c>
      <c r="U17" s="204">
        <f t="shared" si="1"/>
        <v>89.646335547978836</v>
      </c>
      <c r="V17" s="204">
        <f t="shared" si="2"/>
        <v>84.347044776669748</v>
      </c>
      <c r="W17" s="204">
        <f t="shared" si="3"/>
        <v>59.948226850434125</v>
      </c>
      <c r="X17" s="201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203">
        <v>17.425536897775878</v>
      </c>
      <c r="S18" s="14">
        <v>12.141454162135274</v>
      </c>
      <c r="T18" s="204">
        <f t="shared" si="0"/>
        <v>11.75555250986821</v>
      </c>
      <c r="U18" s="204">
        <f t="shared" si="1"/>
        <v>95.455086380129856</v>
      </c>
      <c r="V18" s="204">
        <f t="shared" si="2"/>
        <v>89.812421175393112</v>
      </c>
      <c r="W18" s="204">
        <f t="shared" si="3"/>
        <v>63.832650128584376</v>
      </c>
      <c r="X18" s="201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203">
        <v>18.249016517549222</v>
      </c>
      <c r="S19" s="14">
        <v>12.717970155826798</v>
      </c>
      <c r="T19" s="204">
        <f t="shared" si="0"/>
        <v>12.466633274567998</v>
      </c>
      <c r="U19" s="204">
        <f t="shared" si="1"/>
        <v>101.22906218949214</v>
      </c>
      <c r="V19" s="204">
        <f t="shared" si="2"/>
        <v>95.245078217699501</v>
      </c>
      <c r="W19" s="204">
        <f t="shared" si="3"/>
        <v>67.693818680904229</v>
      </c>
      <c r="X19" s="201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203">
        <v>19.067723922664811</v>
      </c>
      <c r="S20" s="14">
        <v>13.29112656610236</v>
      </c>
      <c r="T20" s="204">
        <f t="shared" si="0"/>
        <v>13.173722728062264</v>
      </c>
      <c r="U20" s="204">
        <f t="shared" si="1"/>
        <v>106.97062855186557</v>
      </c>
      <c r="V20" s="204">
        <f t="shared" si="2"/>
        <v>100.6472416423957</v>
      </c>
      <c r="W20" s="204">
        <f t="shared" si="3"/>
        <v>71.533314413378093</v>
      </c>
      <c r="X20" s="201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203">
        <v>19.882479368539293</v>
      </c>
      <c r="S21" s="14">
        <v>13.86149026483932</v>
      </c>
      <c r="T21" s="204">
        <f t="shared" si="0"/>
        <v>13.87707641108879</v>
      </c>
      <c r="U21" s="204">
        <f t="shared" si="1"/>
        <v>112.68186045804097</v>
      </c>
      <c r="V21" s="204">
        <f t="shared" si="2"/>
        <v>106.02086378071836</v>
      </c>
      <c r="W21" s="204">
        <f t="shared" si="3"/>
        <v>75.352524912212132</v>
      </c>
      <c r="X21" s="201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203">
        <v>20.693922047101367</v>
      </c>
      <c r="S22" s="14">
        <v>14.429503673229874</v>
      </c>
      <c r="T22" s="204">
        <f t="shared" si="0"/>
        <v>14.576920219562425</v>
      </c>
      <c r="U22" s="204">
        <f t="shared" si="1"/>
        <v>118.36459218284688</v>
      </c>
      <c r="V22" s="204">
        <f t="shared" si="2"/>
        <v>111.36767047745693</v>
      </c>
      <c r="W22" s="204">
        <f t="shared" si="3"/>
        <v>79.152676792223957</v>
      </c>
      <c r="X22" s="201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203">
        <v>21.502556125484006</v>
      </c>
      <c r="S23" s="14">
        <v>14.995516335360499</v>
      </c>
      <c r="T23" s="204">
        <f t="shared" si="0"/>
        <v>15.273455223830776</v>
      </c>
      <c r="U23" s="204">
        <f t="shared" si="1"/>
        <v>124.0204564175059</v>
      </c>
      <c r="V23" s="204">
        <f t="shared" si="2"/>
        <v>116.68919791006712</v>
      </c>
      <c r="W23" s="204">
        <f t="shared" si="3"/>
        <v>82.934861865401118</v>
      </c>
      <c r="X23" s="201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203">
        <v>22.308783812936007</v>
      </c>
      <c r="S24" s="14">
        <v>15.559807605389468</v>
      </c>
      <c r="T24" s="204">
        <f t="shared" si="0"/>
        <v>15.966861502375647</v>
      </c>
      <c r="U24" s="204">
        <f t="shared" si="1"/>
        <v>129.65091539929023</v>
      </c>
      <c r="V24" s="204">
        <f t="shared" si="2"/>
        <v>121.98682187814994</v>
      </c>
      <c r="W24" s="204">
        <f t="shared" si="3"/>
        <v>86.700057957899759</v>
      </c>
      <c r="X24" s="201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203">
        <v>23.112929417321887</v>
      </c>
      <c r="S25" s="14">
        <v>16.122603160457842</v>
      </c>
      <c r="T25" s="204">
        <f t="shared" si="0"/>
        <v>16.657301228929406</v>
      </c>
      <c r="U25" s="204">
        <f t="shared" si="1"/>
        <v>135.25728597890676</v>
      </c>
      <c r="V25" s="204">
        <f t="shared" si="2"/>
        <v>127.26178138902065</v>
      </c>
      <c r="W25" s="204">
        <f t="shared" si="3"/>
        <v>90.449145673086662</v>
      </c>
      <c r="X25" s="201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203">
        <v>23.915257061317941</v>
      </c>
      <c r="S26" s="14">
        <v>16.684087167719607</v>
      </c>
      <c r="T26" s="204">
        <f t="shared" si="0"/>
        <v>17.344921185779352</v>
      </c>
      <c r="U26" s="204">
        <f t="shared" si="1"/>
        <v>140.84076002852834</v>
      </c>
      <c r="V26" s="204">
        <f t="shared" si="2"/>
        <v>132.51519785935423</v>
      </c>
      <c r="W26" s="204">
        <f t="shared" si="3"/>
        <v>94.182922038781882</v>
      </c>
      <c r="X26" s="201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203">
        <v>24.71598388121765</v>
      </c>
      <c r="S27" s="14">
        <v>17.244411353988795</v>
      </c>
      <c r="T27" s="204">
        <f t="shared" si="0"/>
        <v>18.029854830261755</v>
      </c>
      <c r="U27" s="204">
        <f t="shared" si="1"/>
        <v>146.40242122172543</v>
      </c>
      <c r="V27" s="204">
        <f t="shared" si="2"/>
        <v>137.7480909031998</v>
      </c>
      <c r="W27" s="204">
        <f t="shared" si="3"/>
        <v>97.90211172832133</v>
      </c>
      <c r="X27" s="201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203">
        <v>25.515289968530329</v>
      </c>
      <c r="S28" s="14">
        <v>17.803701841275974</v>
      </c>
      <c r="T28" s="204">
        <f t="shared" si="0"/>
        <v>18.712224009208079</v>
      </c>
      <c r="U28" s="204">
        <f t="shared" si="1"/>
        <v>151.94325895476959</v>
      </c>
      <c r="V28" s="204">
        <f t="shared" si="2"/>
        <v>142.96139143034972</v>
      </c>
      <c r="W28" s="204">
        <f t="shared" si="3"/>
        <v>101.60737636999986</v>
      </c>
      <c r="X28" s="201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203">
        <v>26.313325936152161</v>
      </c>
      <c r="S29" s="14">
        <v>18.362064352406314</v>
      </c>
      <c r="T29" s="204">
        <f t="shared" si="0"/>
        <v>19.392140393015811</v>
      </c>
      <c r="U29" s="204">
        <f t="shared" si="1"/>
        <v>157.46417999128838</v>
      </c>
      <c r="V29" s="204">
        <f t="shared" si="2"/>
        <v>148.15595260264078</v>
      </c>
      <c r="W29" s="204">
        <f t="shared" si="3"/>
        <v>105.29932233407585</v>
      </c>
      <c r="X29" s="201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203">
        <v>27.110218733340869</v>
      </c>
      <c r="S30" s="14">
        <v>18.919588214549311</v>
      </c>
      <c r="T30" s="204">
        <f t="shared" si="0"/>
        <v>20.069706684225125</v>
      </c>
      <c r="U30" s="204">
        <f t="shared" si="1"/>
        <v>162.966018275908</v>
      </c>
      <c r="V30" s="204">
        <f t="shared" si="2"/>
        <v>153.33255906747993</v>
      </c>
      <c r="W30" s="204">
        <f t="shared" si="3"/>
        <v>108.97850729534242</v>
      </c>
      <c r="X30" s="201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203">
        <v>27.906076156357493</v>
      </c>
      <c r="S31" s="14">
        <v>19.476349467012078</v>
      </c>
      <c r="T31" s="204">
        <f t="shared" si="0"/>
        <v>20.745017643103168</v>
      </c>
      <c r="U31" s="204">
        <f t="shared" si="1"/>
        <v>168.44954326199772</v>
      </c>
      <c r="V31" s="204">
        <f t="shared" si="2"/>
        <v>158.49193479330819</v>
      </c>
      <c r="W31" s="204">
        <f t="shared" si="3"/>
        <v>112.64544580205019</v>
      </c>
      <c r="X31" s="201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203">
        <v>28.700990378097384</v>
      </c>
      <c r="S32" s="14">
        <v>20.032413295018404</v>
      </c>
      <c r="T32" s="204">
        <f t="shared" si="0"/>
        <v>21.418160963493182</v>
      </c>
      <c r="U32" s="204">
        <f t="shared" si="1"/>
        <v>173.91546702356462</v>
      </c>
      <c r="V32" s="204">
        <f t="shared" si="2"/>
        <v>163.6347497610879</v>
      </c>
      <c r="W32" s="204">
        <f t="shared" si="3"/>
        <v>116.30061403176798</v>
      </c>
      <c r="X32" s="201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203">
        <v>29.495040733033466</v>
      </c>
      <c r="S33" s="14">
        <v>20.587835951587046</v>
      </c>
      <c r="T33" s="204">
        <f t="shared" si="0"/>
        <v>22.089218025202122</v>
      </c>
      <c r="U33" s="204">
        <f t="shared" si="1"/>
        <v>179.36445036464121</v>
      </c>
      <c r="V33" s="204">
        <f t="shared" si="2"/>
        <v>168.7616257125442</v>
      </c>
      <c r="W33" s="204">
        <f t="shared" si="3"/>
        <v>119.94445387684752</v>
      </c>
      <c r="X33" s="201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203">
        <v>30.288295931885674</v>
      </c>
      <c r="S34" s="14">
        <v>21.142666287194388</v>
      </c>
      <c r="T34" s="204">
        <f t="shared" si="0"/>
        <v>22.758264543867377</v>
      </c>
      <c r="U34" s="204">
        <f t="shared" si="1"/>
        <v>184.79710809620309</v>
      </c>
      <c r="V34" s="204">
        <f t="shared" si="2"/>
        <v>173.87314111514675</v>
      </c>
      <c r="W34" s="204">
        <f t="shared" si="3"/>
        <v>123.57737647319985</v>
      </c>
      <c r="X34" s="201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203">
        <v>31.080815835931094</v>
      </c>
      <c r="S35" s="14">
        <v>21.696946976402867</v>
      </c>
      <c r="T35" s="204">
        <f t="shared" si="0"/>
        <v>23.425371135130007</v>
      </c>
      <c r="U35" s="204">
        <f t="shared" si="1"/>
        <v>190.21401361725563</v>
      </c>
      <c r="V35" s="204">
        <f t="shared" si="2"/>
        <v>178.96983547239324</v>
      </c>
      <c r="W35" s="204">
        <f t="shared" si="3"/>
        <v>127.19976526375594</v>
      </c>
      <c r="X35" s="201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203">
        <v>31.872652888574912</v>
      </c>
      <c r="S36" s="14">
        <v>22.250715508493244</v>
      </c>
      <c r="T36" s="204">
        <f t="shared" si="0"/>
        <v>24.090603806739875</v>
      </c>
      <c r="U36" s="204">
        <f t="shared" si="1"/>
        <v>195.61570291072778</v>
      </c>
      <c r="V36" s="204">
        <f t="shared" si="2"/>
        <v>184.05221308349263</v>
      </c>
      <c r="W36" s="204">
        <f t="shared" si="3"/>
        <v>130.81197867059751</v>
      </c>
      <c r="X36" s="201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203">
        <v>32.663853278150668</v>
      </c>
      <c r="S37" s="14">
        <v>22.804004992917321</v>
      </c>
      <c r="T37" s="204">
        <f t="shared" si="0"/>
        <v>24.754024389704348</v>
      </c>
      <c r="U37" s="204">
        <f t="shared" si="1"/>
        <v>201.00267804439929</v>
      </c>
      <c r="V37" s="204">
        <f t="shared" si="2"/>
        <v>189.12074633734122</v>
      </c>
      <c r="W37" s="204">
        <f t="shared" si="3"/>
        <v>134.41435243609462</v>
      </c>
      <c r="X37" s="201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203">
        <v>33.454457888444324</v>
      </c>
      <c r="S38" s="14">
        <v>23.356844818399427</v>
      </c>
      <c r="T38" s="204">
        <f t="shared" si="0"/>
        <v>25.415690917602237</v>
      </c>
      <c r="U38" s="204">
        <f t="shared" si="1"/>
        <v>206.37541025093014</v>
      </c>
      <c r="V38" s="204">
        <f t="shared" si="2"/>
        <v>194.17587861048108</v>
      </c>
      <c r="W38" s="204">
        <f t="shared" si="3"/>
        <v>138.00720168258013</v>
      </c>
      <c r="X38" s="201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203">
        <v>34.244503080418482</v>
      </c>
      <c r="S39" s="14">
        <v>23.909261195581323</v>
      </c>
      <c r="T39" s="204">
        <f t="shared" si="0"/>
        <v>26.075657961598115</v>
      </c>
      <c r="U39" s="204">
        <f t="shared" si="1"/>
        <v>211.73434264817666</v>
      </c>
      <c r="V39" s="204">
        <f t="shared" si="2"/>
        <v>199.21802682660959</v>
      </c>
      <c r="W39" s="204">
        <f t="shared" si="3"/>
        <v>141.59082273147774</v>
      </c>
      <c r="X39" s="201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203">
        <v>35.03402133883656</v>
      </c>
      <c r="S40" s="14">
        <v>24.461277606393462</v>
      </c>
      <c r="T40" s="204">
        <f t="shared" si="0"/>
        <v>26.733976927417402</v>
      </c>
      <c r="U40" s="204">
        <f t="shared" si="1"/>
        <v>217.07989265062929</v>
      </c>
      <c r="V40" s="204">
        <f t="shared" si="2"/>
        <v>204.24758372546893</v>
      </c>
      <c r="W40" s="204">
        <f t="shared" si="3"/>
        <v>145.16549471587649</v>
      </c>
      <c r="X40" s="201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203">
        <v>35.823041810089819</v>
      </c>
      <c r="S41" s="14">
        <v>25.012915178256186</v>
      </c>
      <c r="T41" s="204">
        <f t="shared" si="0"/>
        <v>27.390696319513211</v>
      </c>
      <c r="U41" s="204">
        <f t="shared" si="1"/>
        <v>222.41245411444726</v>
      </c>
      <c r="V41" s="204">
        <f t="shared" si="2"/>
        <v>209.26491988108091</v>
      </c>
      <c r="W41" s="204">
        <f t="shared" si="3"/>
        <v>148.73148101495673</v>
      </c>
      <c r="X41" s="201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203">
        <v>36.611590751890041</v>
      </c>
      <c r="S42" s="14">
        <v>25.56419299733977</v>
      </c>
      <c r="T42" s="204">
        <f t="shared" si="0"/>
        <v>28.045861976817147</v>
      </c>
      <c r="U42" s="204">
        <f t="shared" si="1"/>
        <v>227.7323992517552</v>
      </c>
      <c r="V42" s="204">
        <f t="shared" si="2"/>
        <v>214.27038550288299</v>
      </c>
      <c r="W42" s="204">
        <f t="shared" si="3"/>
        <v>152.2890305341171</v>
      </c>
      <c r="X42" s="201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203">
        <v>37.399691911166478</v>
      </c>
      <c r="S43" s="14">
        <v>26.115128372140486</v>
      </c>
      <c r="T43" s="204">
        <f t="shared" si="0"/>
        <v>28.699517283781198</v>
      </c>
      <c r="U43" s="204">
        <f t="shared" si="1"/>
        <v>233.04008034430331</v>
      </c>
      <c r="V43" s="204">
        <f t="shared" si="2"/>
        <v>219.26431204808833</v>
      </c>
      <c r="W43" s="204">
        <f t="shared" si="3"/>
        <v>155.83837885093189</v>
      </c>
      <c r="X43" s="201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203">
        <v>38.187366843157633</v>
      </c>
      <c r="S44" s="14">
        <v>26.665737056328396</v>
      </c>
      <c r="T44" s="204">
        <f t="shared" si="0"/>
        <v>29.351703359853296</v>
      </c>
      <c r="U44" s="204">
        <f t="shared" si="1"/>
        <v>238.33583128200874</v>
      </c>
      <c r="V44" s="204">
        <f t="shared" si="2"/>
        <v>224.24701366927917</v>
      </c>
      <c r="W44" s="204">
        <f t="shared" si="3"/>
        <v>159.37974924400339</v>
      </c>
      <c r="X44" s="201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203">
        <v>38.974635182093358</v>
      </c>
      <c r="S45" s="14">
        <v>27.21603343803735</v>
      </c>
      <c r="T45" s="204">
        <f t="shared" si="0"/>
        <v>30.002459230062666</v>
      </c>
      <c r="U45" s="204">
        <f t="shared" si="1"/>
        <v>243.61996894810883</v>
      </c>
      <c r="V45" s="204">
        <f t="shared" si="2"/>
        <v>229.21878851767875</v>
      </c>
      <c r="W45" s="204">
        <f t="shared" si="3"/>
        <v>162.91335361924027</v>
      </c>
      <c r="X45" s="201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203">
        <v>39.76151487182436</v>
      </c>
      <c r="S46" s="14">
        <v>27.76603070136553</v>
      </c>
      <c r="T46" s="204">
        <f t="shared" si="0"/>
        <v>30.65182197900327</v>
      </c>
      <c r="U46" s="204">
        <f t="shared" si="1"/>
        <v>248.89279446950653</v>
      </c>
      <c r="V46" s="204">
        <f t="shared" si="2"/>
        <v>234.17991991958496</v>
      </c>
      <c r="W46" s="204">
        <f t="shared" si="3"/>
        <v>166.43939334598775</v>
      </c>
      <c r="X46" s="201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203">
        <v>40.548022363159582</v>
      </c>
      <c r="S47" s="14">
        <v>28.31574096475553</v>
      </c>
      <c r="T47" s="204">
        <f t="shared" si="0"/>
        <v>31.299826890179368</v>
      </c>
      <c r="U47" s="204">
        <f t="shared" si="1"/>
        <v>254.15459434825644</v>
      </c>
      <c r="V47" s="204">
        <f t="shared" si="2"/>
        <v>239.13067744097037</v>
      </c>
      <c r="W47" s="204">
        <f t="shared" si="3"/>
        <v>169.95806001367396</v>
      </c>
      <c r="X47" s="201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203">
        <v>41.334172783403531</v>
      </c>
      <c r="S48" s="14">
        <v>28.86517540004958</v>
      </c>
      <c r="T48" s="204">
        <f t="shared" si="0"/>
        <v>31.946507572406013</v>
      </c>
      <c r="U48" s="204">
        <f t="shared" si="1"/>
        <v>259.4056414879368</v>
      </c>
      <c r="V48" s="204">
        <f t="shared" si="2"/>
        <v>244.07131785318194</v>
      </c>
      <c r="W48" s="204">
        <f t="shared" si="3"/>
        <v>173.46953611816463</v>
      </c>
      <c r="X48" s="201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203">
        <v>42.119980082578593</v>
      </c>
      <c r="S49" s="14">
        <v>29.414344335321641</v>
      </c>
      <c r="T49" s="204">
        <f t="shared" si="0"/>
        <v>32.591896074727558</v>
      </c>
      <c r="U49" s="204">
        <f t="shared" si="1"/>
        <v>264.64619612678774</v>
      </c>
      <c r="V49" s="204">
        <f t="shared" si="2"/>
        <v>249.00208601091853</v>
      </c>
      <c r="W49" s="204">
        <f t="shared" si="3"/>
        <v>176.97399568577063</v>
      </c>
      <c r="X49" s="201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203">
        <v>42.905457160012759</v>
      </c>
      <c r="S50" s="14">
        <v>29.963257344033387</v>
      </c>
      <c r="T50" s="204">
        <f t="shared" si="0"/>
        <v>33.236022991124564</v>
      </c>
      <c r="U50" s="204">
        <f t="shared" si="1"/>
        <v>269.87650668793145</v>
      </c>
      <c r="V50" s="204">
        <f t="shared" si="2"/>
        <v>253.92321565219166</v>
      </c>
      <c r="W50" s="204">
        <f t="shared" si="3"/>
        <v>180.47160484180637</v>
      </c>
      <c r="X50" s="201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203">
        <v>43.690615974323364</v>
      </c>
      <c r="S51" s="14">
        <v>30.511923322612986</v>
      </c>
      <c r="T51" s="204">
        <f t="shared" si="0"/>
        <v>33.878917556114104</v>
      </c>
      <c r="U51" s="204">
        <f t="shared" si="1"/>
        <v>275.09681055564647</v>
      </c>
      <c r="V51" s="204">
        <f t="shared" si="2"/>
        <v>258.83493012871173</v>
      </c>
      <c r="W51" s="204">
        <f t="shared" si="3"/>
        <v>183.96252232969957</v>
      </c>
      <c r="X51" s="201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203">
        <v>44.47546763930923</v>
      </c>
      <c r="S52" s="14">
        <v>31.060350558197904</v>
      </c>
      <c r="T52" s="204">
        <f t="shared" si="0"/>
        <v>34.520607732208667</v>
      </c>
      <c r="U52" s="204">
        <f t="shared" si="1"/>
        <v>280.30733478553435</v>
      </c>
      <c r="V52" s="204">
        <f t="shared" si="2"/>
        <v>263.73744307407418</v>
      </c>
      <c r="W52" s="204">
        <f t="shared" si="3"/>
        <v>187.44689998589305</v>
      </c>
      <c r="X52" s="201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203">
        <v>45.260022507833391</v>
      </c>
      <c r="S53" s="14">
        <v>31.608546787985929</v>
      </c>
      <c r="T53" s="204">
        <f t="shared" si="0"/>
        <v>35.161120290079218</v>
      </c>
      <c r="U53" s="204">
        <f t="shared" si="1"/>
        <v>285.50829675544321</v>
      </c>
      <c r="V53" s="204">
        <f t="shared" si="2"/>
        <v>268.63095901620522</v>
      </c>
      <c r="W53" s="204">
        <f t="shared" si="3"/>
        <v>190.92488317513013</v>
      </c>
      <c r="X53" s="201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203">
        <v>46.044290245439647</v>
      </c>
      <c r="S54" s="14">
        <v>32.156519251404575</v>
      </c>
      <c r="T54" s="204">
        <f t="shared" si="0"/>
        <v>35.80048088216455</v>
      </c>
      <c r="U54" s="204">
        <f t="shared" si="1"/>
        <v>290.69990476317611</v>
      </c>
      <c r="V54" s="204">
        <f t="shared" si="2"/>
        <v>273.51567393973716</v>
      </c>
      <c r="W54" s="204">
        <f t="shared" si="3"/>
        <v>194.39661119015349</v>
      </c>
      <c r="X54" s="201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203">
        <v>46.828279895158758</v>
      </c>
      <c r="S55" s="14">
        <v>32.704274736110065</v>
      </c>
      <c r="T55" s="204">
        <f t="shared" si="0"/>
        <v>36.438714110380602</v>
      </c>
      <c r="U55" s="204">
        <f t="shared" si="1"/>
        <v>295.88235857629047</v>
      </c>
      <c r="V55" s="204">
        <f t="shared" si="2"/>
        <v>278.39177580330778</v>
      </c>
      <c r="W55" s="204">
        <f t="shared" si="3"/>
        <v>197.86221761936665</v>
      </c>
      <c r="X55" s="201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203">
        <v>47.611999934729276</v>
      </c>
      <c r="S56" s="14">
        <v>33.251819618667909</v>
      </c>
      <c r="T56" s="204">
        <f t="shared" si="0"/>
        <v>37.075843588507418</v>
      </c>
      <c r="U56" s="204">
        <f t="shared" si="1"/>
        <v>301.05584993868018</v>
      </c>
      <c r="V56" s="204">
        <f t="shared" si="2"/>
        <v>283.25944501619665</v>
      </c>
      <c r="W56" s="204">
        <f t="shared" si="3"/>
        <v>201.32183068559527</v>
      </c>
      <c r="X56" s="201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203">
        <v>48.395458327269651</v>
      </c>
      <c r="S57" s="14">
        <v>33.799159900636099</v>
      </c>
      <c r="T57" s="204">
        <f t="shared" si="0"/>
        <v>37.711891999764049</v>
      </c>
      <c r="U57" s="204">
        <f t="shared" si="1"/>
        <v>306.22056303808404</v>
      </c>
      <c r="V57" s="204">
        <f t="shared" si="2"/>
        <v>288.11885487819734</v>
      </c>
      <c r="W57" s="204">
        <f t="shared" si="3"/>
        <v>204.77557355871878</v>
      </c>
      <c r="X57" s="201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203">
        <v>49.178662566271946</v>
      </c>
      <c r="S58" s="14">
        <v>34.346301240657482</v>
      </c>
      <c r="T58" s="204">
        <f t="shared" si="0"/>
        <v>38.346881150025261</v>
      </c>
      <c r="U58" s="204">
        <f t="shared" si="1"/>
        <v>311.3766749382051</v>
      </c>
      <c r="V58" s="204">
        <f t="shared" si="2"/>
        <v>292.97017198619301</v>
      </c>
      <c r="W58" s="204">
        <f t="shared" si="3"/>
        <v>208.22356464463715</v>
      </c>
      <c r="X58" s="201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203">
        <v>49.961619715665982</v>
      </c>
      <c r="S59" s="14">
        <v>34.893248983082977</v>
      </c>
      <c r="T59" s="204">
        <f t="shared" si="0"/>
        <v>38.980832017082967</v>
      </c>
      <c r="U59" s="204">
        <f t="shared" si="1"/>
        <v>316.52435597871369</v>
      </c>
      <c r="V59" s="204">
        <f t="shared" si="2"/>
        <v>297.81355661051384</v>
      </c>
      <c r="W59" s="204">
        <f t="shared" si="3"/>
        <v>211.66591785276051</v>
      </c>
      <c r="X59" s="201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203">
        <v>50.744336445583563</v>
      </c>
      <c r="S60" s="14">
        <v>35.440008183565247</v>
      </c>
      <c r="T60" s="204">
        <f t="shared" si="0"/>
        <v>39.613764796311564</v>
      </c>
      <c r="U60" s="204">
        <f t="shared" si="1"/>
        <v>321.66377014604984</v>
      </c>
      <c r="V60" s="204">
        <f t="shared" si="2"/>
        <v>302.64916304382035</v>
      </c>
      <c r="W60" s="204">
        <f t="shared" si="3"/>
        <v>215.10274284397178</v>
      </c>
      <c r="X60" s="201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203">
        <v>51.526819064366713</v>
      </c>
      <c r="S61" s="14">
        <v>35.986583632002578</v>
      </c>
      <c r="T61" s="204">
        <f t="shared" si="0"/>
        <v>40.245698943058677</v>
      </c>
      <c r="U61" s="204">
        <f t="shared" si="1"/>
        <v>326.79507541763644</v>
      </c>
      <c r="V61" s="204">
        <f t="shared" si="2"/>
        <v>307.4771399249683</v>
      </c>
      <c r="W61" s="204">
        <f t="shared" si="3"/>
        <v>218.5341452608086</v>
      </c>
      <c r="X61" s="201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203">
        <v>52.309073547283091</v>
      </c>
      <c r="S62" s="14">
        <v>36.532979873156705</v>
      </c>
      <c r="T62" s="204">
        <f t="shared" si="0"/>
        <v>40.876653212047827</v>
      </c>
      <c r="U62" s="204">
        <f t="shared" si="1"/>
        <v>331.91842408182833</v>
      </c>
      <c r="V62" s="204">
        <f t="shared" si="2"/>
        <v>312.29763054004536</v>
      </c>
      <c r="W62" s="204">
        <f t="shared" si="3"/>
        <v>221.96022694141971</v>
      </c>
      <c r="X62" s="201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203">
        <v>53.091105562348133</v>
      </c>
      <c r="S63" s="14">
        <v>37.079201225224409</v>
      </c>
      <c r="T63" s="204">
        <f t="shared" si="0"/>
        <v>41.50664569405118</v>
      </c>
      <c r="U63" s="204">
        <f t="shared" si="1"/>
        <v>337.03396303569554</v>
      </c>
      <c r="V63" s="204">
        <f t="shared" si="2"/>
        <v>317.11077310255098</v>
      </c>
      <c r="W63" s="204">
        <f t="shared" si="3"/>
        <v>225.38108611869791</v>
      </c>
      <c r="X63" s="201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203">
        <v>53.872920493599061</v>
      </c>
      <c r="S64" s="14">
        <v>37.625251796604196</v>
      </c>
      <c r="T64" s="204">
        <f t="shared" si="0"/>
        <v>42.135693850063937</v>
      </c>
      <c r="U64" s="204">
        <f t="shared" si="1"/>
        <v>342.14183406251914</v>
      </c>
      <c r="V64" s="204">
        <f t="shared" si="2"/>
        <v>321.91670101448847</v>
      </c>
      <c r="W64" s="204">
        <f t="shared" si="3"/>
        <v>228.79681760584717</v>
      </c>
      <c r="X64" s="201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203">
        <v>54.654523462118341</v>
      </c>
      <c r="S65" s="14">
        <v>38.171135501067269</v>
      </c>
      <c r="T65" s="204">
        <f t="shared" si="0"/>
        <v>42.763814543188104</v>
      </c>
      <c r="U65" s="204">
        <f t="shared" si="1"/>
        <v>347.2421740906874</v>
      </c>
      <c r="V65" s="204">
        <f t="shared" si="2"/>
        <v>326.71554310995708</v>
      </c>
      <c r="W65" s="204">
        <f t="shared" si="3"/>
        <v>232.20751296951138</v>
      </c>
      <c r="X65" s="201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203">
        <v>55.435919345063233</v>
      </c>
      <c r="S66" s="14">
        <v>38.716856071512339</v>
      </c>
      <c r="T66" s="204">
        <f t="shared" si="0"/>
        <v>43.391024068414453</v>
      </c>
      <c r="U66" s="204">
        <f t="shared" si="1"/>
        <v>352.33511543552532</v>
      </c>
      <c r="V66" s="204">
        <f t="shared" si="2"/>
        <v>331.5074238826864</v>
      </c>
      <c r="W66" s="204">
        <f t="shared" si="3"/>
        <v>235.61326069149047</v>
      </c>
      <c r="X66" s="201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203">
        <v>56.217112792930017</v>
      </c>
      <c r="S67" s="14">
        <v>39.262417072465354</v>
      </c>
      <c r="T67" s="204">
        <f t="shared" si="0"/>
        <v>44.017338180471796</v>
      </c>
      <c r="U67" s="204">
        <f t="shared" si="1"/>
        <v>357.42078602543097</v>
      </c>
      <c r="V67" s="204">
        <f t="shared" si="2"/>
        <v>336.29246369880451</v>
      </c>
      <c r="W67" s="204">
        <f t="shared" si="3"/>
        <v>239.01414631996184</v>
      </c>
      <c r="X67" s="201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203">
        <v>56.998108245241859</v>
      </c>
      <c r="S68" s="14">
        <v>39.807821911456735</v>
      </c>
      <c r="T68" s="204">
        <f t="shared" si="0"/>
        <v>44.64277211989733</v>
      </c>
      <c r="U68" s="204">
        <f t="shared" si="1"/>
        <v>362.49930961356631</v>
      </c>
      <c r="V68" s="204">
        <f t="shared" si="2"/>
        <v>341.07077899601558</v>
      </c>
      <c r="W68" s="204">
        <f t="shared" si="3"/>
        <v>242.41025261104249</v>
      </c>
      <c r="X68" s="201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203">
        <v>57.778909944839285</v>
      </c>
      <c r="S69" s="14">
        <v>40.353073849402293</v>
      </c>
      <c r="T69" s="204">
        <f t="shared" ref="T69:T108" si="5">+POWER(A69,0.91)</f>
        <v>45.267340637467541</v>
      </c>
      <c r="U69" s="204">
        <f t="shared" ref="U69:U108" si="6">+T69*$U$3</f>
        <v>367.57080597623639</v>
      </c>
      <c r="V69" s="204">
        <f t="shared" ref="V69:V108" si="7">+T69*$V$3</f>
        <v>345.84248247025198</v>
      </c>
      <c r="W69" s="204">
        <f t="shared" ref="W69:W108" si="8">+T69*$W$3</f>
        <v>245.80165966144872</v>
      </c>
      <c r="X69" s="201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203">
        <v>58.559521950916412</v>
      </c>
      <c r="S70" s="14">
        <v>40.898176010088527</v>
      </c>
      <c r="T70" s="204">
        <f t="shared" si="5"/>
        <v>45.891058017115768</v>
      </c>
      <c r="U70" s="204">
        <f t="shared" si="6"/>
        <v>372.63539109897999</v>
      </c>
      <c r="V70" s="204">
        <f t="shared" si="7"/>
        <v>350.60768325076447</v>
      </c>
      <c r="W70" s="204">
        <f t="shared" si="8"/>
        <v>249.1884450329386</v>
      </c>
      <c r="X70" s="201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203">
        <v>59.339948150937403</v>
      </c>
      <c r="S71" s="14">
        <v>41.443131388857559</v>
      </c>
      <c r="T71" s="204">
        <f t="shared" si="5"/>
        <v>46.513938097451451</v>
      </c>
      <c r="U71" s="204">
        <f t="shared" si="6"/>
        <v>377.69317735130574</v>
      </c>
      <c r="V71" s="204">
        <f t="shared" si="7"/>
        <v>355.36648706452905</v>
      </c>
      <c r="W71" s="204">
        <f t="shared" si="8"/>
        <v>252.57068386916137</v>
      </c>
      <c r="X71" s="201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203">
        <v>60.120192271548056</v>
      </c>
      <c r="S72" s="14">
        <v>41.98794286057236</v>
      </c>
      <c r="T72" s="204">
        <f t="shared" si="5"/>
        <v>47.135994291985675</v>
      </c>
      <c r="U72" s="204">
        <f t="shared" si="6"/>
        <v>382.74427365092362</v>
      </c>
      <c r="V72" s="204">
        <f t="shared" si="7"/>
        <v>360.11899639077052</v>
      </c>
      <c r="W72" s="204">
        <f t="shared" si="8"/>
        <v>255.94844900548219</v>
      </c>
      <c r="X72" s="201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203">
        <v>60.900257888585145</v>
      </c>
      <c r="S73" s="14">
        <v>42.532613186935279</v>
      </c>
      <c r="T73" s="204">
        <f t="shared" si="5"/>
        <v>47.7572396081585</v>
      </c>
      <c r="U73" s="204">
        <f t="shared" si="6"/>
        <v>387.788785618247</v>
      </c>
      <c r="V73" s="204">
        <f t="shared" si="7"/>
        <v>364.86531060633092</v>
      </c>
      <c r="W73" s="204">
        <f t="shared" si="8"/>
        <v>259.32181107230065</v>
      </c>
      <c r="X73" s="201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203">
        <v>61.680148436270052</v>
      </c>
      <c r="S74" s="14">
        <v>43.077145023220858</v>
      </c>
      <c r="T74" s="204">
        <f t="shared" si="5"/>
        <v>48.377686665255027</v>
      </c>
      <c r="U74" s="204">
        <f t="shared" si="6"/>
        <v>392.82681572187079</v>
      </c>
      <c r="V74" s="204">
        <f t="shared" si="7"/>
        <v>369.60552612254838</v>
      </c>
      <c r="W74" s="204">
        <f t="shared" si="8"/>
        <v>262.69083859233479</v>
      </c>
      <c r="X74" s="201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203">
        <v>62.459867215674798</v>
      </c>
      <c r="S75" s="14">
        <v>43.621540924485558</v>
      </c>
      <c r="T75" s="204">
        <f t="shared" si="5"/>
        <v>48.997347711289784</v>
      </c>
      <c r="U75" s="204">
        <f t="shared" si="6"/>
        <v>397.85846341567299</v>
      </c>
      <c r="V75" s="204">
        <f t="shared" si="7"/>
        <v>374.33973651425396</v>
      </c>
      <c r="W75" s="204">
        <f t="shared" si="8"/>
        <v>266.0555980723035</v>
      </c>
      <c r="X75" s="201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203">
        <v>63.239417402517361</v>
      </c>
      <c r="S76" s="14">
        <v>44.165803351294699</v>
      </c>
      <c r="T76" s="204">
        <f t="shared" si="5"/>
        <v>49.616234638932568</v>
      </c>
      <c r="U76" s="204">
        <f t="shared" si="6"/>
        <v>402.8838252681324</v>
      </c>
      <c r="V76" s="204">
        <f t="shared" si="7"/>
        <v>379.0680326414448</v>
      </c>
      <c r="W76" s="204">
        <f t="shared" si="8"/>
        <v>269.41615408940385</v>
      </c>
      <c r="X76" s="201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203">
        <v>64.018802054365494</v>
      </c>
      <c r="S77" s="14">
        <v>44.709934675022708</v>
      </c>
      <c r="T77" s="204">
        <f t="shared" si="5"/>
        <v>50.234359000542355</v>
      </c>
      <c r="U77" s="204">
        <f t="shared" si="6"/>
        <v>407.90299508440387</v>
      </c>
      <c r="V77" s="204">
        <f t="shared" si="7"/>
        <v>383.79050276414358</v>
      </c>
      <c r="W77" s="204">
        <f t="shared" si="8"/>
        <v>272.77256937294499</v>
      </c>
      <c r="X77" s="201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203">
        <v>64.79802411729051</v>
      </c>
      <c r="S78" s="14">
        <v>45.253937182756516</v>
      </c>
      <c r="T78" s="204">
        <f t="shared" si="5"/>
        <v>50.851732022370506</v>
      </c>
      <c r="U78" s="204">
        <f t="shared" si="6"/>
        <v>412.91606402164848</v>
      </c>
      <c r="V78" s="204">
        <f t="shared" si="7"/>
        <v>388.50723265091062</v>
      </c>
      <c r="W78" s="204">
        <f t="shared" si="8"/>
        <v>276.12490488147182</v>
      </c>
      <c r="X78" s="201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203">
        <v>65.577086432029759</v>
      </c>
      <c r="S79" s="14">
        <v>45.797813081843699</v>
      </c>
      <c r="T79" s="204">
        <f t="shared" si="5"/>
        <v>51.468364617990346</v>
      </c>
      <c r="U79" s="204">
        <f t="shared" si="6"/>
        <v>417.92312069808156</v>
      </c>
      <c r="V79" s="204">
        <f t="shared" si="7"/>
        <v>393.21830568144622</v>
      </c>
      <c r="W79" s="204">
        <f t="shared" si="8"/>
        <v>279.47321987568756</v>
      </c>
      <c r="X79" s="201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203">
        <v>66.355991739700883</v>
      </c>
      <c r="S80" s="14">
        <v>46.341564504115958</v>
      </c>
      <c r="T80" s="204">
        <f t="shared" si="5"/>
        <v>52.084267401003423</v>
      </c>
      <c r="U80" s="204">
        <f t="shared" si="6"/>
        <v>422.92425129614776</v>
      </c>
      <c r="V80" s="204">
        <f t="shared" si="7"/>
        <v>397.92380294366615</v>
      </c>
      <c r="W80" s="204">
        <f t="shared" si="8"/>
        <v>282.81757198744856</v>
      </c>
      <c r="X80" s="201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203">
        <v>67.134742687102928</v>
      </c>
      <c r="S81" s="14">
        <v>46.885193509813291</v>
      </c>
      <c r="T81" s="204">
        <f t="shared" si="5"/>
        <v>52.699450697071924</v>
      </c>
      <c r="U81" s="204">
        <f t="shared" si="6"/>
        <v>427.91953966022396</v>
      </c>
      <c r="V81" s="204">
        <f t="shared" si="7"/>
        <v>402.62380332562947</v>
      </c>
      <c r="W81" s="204">
        <f t="shared" si="8"/>
        <v>286.15801728510053</v>
      </c>
      <c r="X81" s="201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203">
        <v>67.913341831647273</v>
      </c>
      <c r="S82" s="14">
        <v>47.428702091239373</v>
      </c>
      <c r="T82" s="204">
        <f t="shared" si="5"/>
        <v>53.313924555320277</v>
      </c>
      <c r="U82" s="204">
        <f t="shared" si="6"/>
        <v>432.90906738920063</v>
      </c>
      <c r="V82" s="204">
        <f t="shared" si="7"/>
        <v>407.31838360264692</v>
      </c>
      <c r="W82" s="204">
        <f t="shared" si="8"/>
        <v>289.4946103353891</v>
      </c>
      <c r="X82" s="201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203">
        <v>68.691791645945642</v>
      </c>
      <c r="S83" s="14">
        <v>47.972092176167564</v>
      </c>
      <c r="T83" s="204">
        <f t="shared" si="5"/>
        <v>53.927698759146317</v>
      </c>
      <c r="U83" s="204">
        <f t="shared" si="6"/>
        <v>437.89291392426804</v>
      </c>
      <c r="V83" s="204">
        <f t="shared" si="7"/>
        <v>412.00761851987784</v>
      </c>
      <c r="W83" s="204">
        <f t="shared" si="8"/>
        <v>292.82740426216446</v>
      </c>
      <c r="X83" s="201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203">
        <v>69.470094522085915</v>
      </c>
      <c r="S84" s="14">
        <v>48.51536563101962</v>
      </c>
      <c r="T84" s="204">
        <f t="shared" si="5"/>
        <v>54.540782836480538</v>
      </c>
      <c r="U84" s="204">
        <f t="shared" si="6"/>
        <v>442.87115663222193</v>
      </c>
      <c r="V84" s="204">
        <f t="shared" si="7"/>
        <v>416.69158087071128</v>
      </c>
      <c r="W84" s="204">
        <f t="shared" si="8"/>
        <v>296.1564508020893</v>
      </c>
      <c r="X84" s="201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203">
        <v>70.248252775619989</v>
      </c>
      <c r="S85" s="14">
        <v>49.058524263834812</v>
      </c>
      <c r="T85" s="204">
        <f t="shared" si="5"/>
        <v>55.153186069527024</v>
      </c>
      <c r="U85" s="204">
        <f t="shared" si="6"/>
        <v>447.84387088455941</v>
      </c>
      <c r="V85" s="204">
        <f t="shared" si="7"/>
        <v>421.37034157118643</v>
      </c>
      <c r="W85" s="204">
        <f t="shared" si="8"/>
        <v>299.48180035753171</v>
      </c>
      <c r="X85" s="201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203">
        <v>71.026268649292774</v>
      </c>
      <c r="S86" s="14">
        <v>49.601569827049573</v>
      </c>
      <c r="T86" s="204">
        <f t="shared" si="5"/>
        <v>55.764917504019301</v>
      </c>
      <c r="U86" s="204">
        <f t="shared" si="6"/>
        <v>452.81113013263666</v>
      </c>
      <c r="V86" s="204">
        <f t="shared" si="7"/>
        <v>426.04396973070743</v>
      </c>
      <c r="W86" s="204">
        <f t="shared" si="8"/>
        <v>302.8035020468248</v>
      </c>
      <c r="X86" s="201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203">
        <v>71.804144316524415</v>
      </c>
      <c r="S87" s="14">
        <v>50.144504020097244</v>
      </c>
      <c r="T87" s="204">
        <f t="shared" si="5"/>
        <v>56.375985958019527</v>
      </c>
      <c r="U87" s="204">
        <f t="shared" si="6"/>
        <v>457.77300597911852</v>
      </c>
      <c r="V87" s="204">
        <f t="shared" si="7"/>
        <v>430.71253271926918</v>
      </c>
      <c r="W87" s="204">
        <f t="shared" si="8"/>
        <v>306.12160375204604</v>
      </c>
      <c r="X87" s="201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203">
        <v>72.58188188467345</v>
      </c>
      <c r="S88" s="14">
        <v>50.687328491847268</v>
      </c>
      <c r="T88" s="204">
        <f t="shared" si="5"/>
        <v>56.986400030290412</v>
      </c>
      <c r="U88" s="204">
        <f t="shared" si="6"/>
        <v>462.72956824595809</v>
      </c>
      <c r="V88" s="204">
        <f t="shared" si="7"/>
        <v>435.37609623141873</v>
      </c>
      <c r="W88" s="204">
        <f t="shared" si="8"/>
        <v>309.43615216447694</v>
      </c>
      <c r="X88" s="201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203">
        <v>73.359483398095279</v>
      </c>
      <c r="S89" s="14">
        <v>51.230044842894337</v>
      </c>
      <c r="T89" s="204">
        <f t="shared" si="5"/>
        <v>57.596168108263242</v>
      </c>
      <c r="U89" s="204">
        <f t="shared" si="6"/>
        <v>467.68088503909746</v>
      </c>
      <c r="V89" s="204">
        <f t="shared" si="7"/>
        <v>440.03472434713115</v>
      </c>
      <c r="W89" s="204">
        <f t="shared" si="8"/>
        <v>312.74719282786941</v>
      </c>
      <c r="X89" s="201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203">
        <v>74.13695084100803</v>
      </c>
      <c r="S90" s="14">
        <v>51.772654627706444</v>
      </c>
      <c r="T90" s="204">
        <f t="shared" si="5"/>
        <v>58.205298375628338</v>
      </c>
      <c r="U90" s="204">
        <f t="shared" si="6"/>
        <v>472.62702281010206</v>
      </c>
      <c r="V90" s="204">
        <f t="shared" si="7"/>
        <v>444.68847958980047</v>
      </c>
      <c r="W90" s="204">
        <f t="shared" si="8"/>
        <v>316.05477017966189</v>
      </c>
      <c r="X90" s="201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203">
        <v>74.914286140190612</v>
      </c>
      <c r="S91" s="14">
        <v>52.31515935664919</v>
      </c>
      <c r="T91" s="204">
        <f t="shared" si="5"/>
        <v>58.813798819567964</v>
      </c>
      <c r="U91" s="204">
        <f t="shared" si="6"/>
        <v>477.5680464148918</v>
      </c>
      <c r="V91" s="204">
        <f t="shared" si="7"/>
        <v>449.33742298149923</v>
      </c>
      <c r="W91" s="204">
        <f t="shared" si="8"/>
        <v>319.35892759025404</v>
      </c>
      <c r="X91" s="201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203">
        <v>75.691491167511046</v>
      </c>
      <c r="S92" s="14">
        <v>52.857560497885743</v>
      </c>
      <c r="T92" s="204">
        <f t="shared" si="5"/>
        <v>59.421677237653576</v>
      </c>
      <c r="U92" s="204">
        <f t="shared" si="6"/>
        <v>482.50401916974698</v>
      </c>
      <c r="V92" s="204">
        <f t="shared" si="7"/>
        <v>453.98161409567331</v>
      </c>
      <c r="W92" s="204">
        <f t="shared" si="8"/>
        <v>322.6597074004589</v>
      </c>
      <c r="X92" s="201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203">
        <v>76.468567742311507</v>
      </c>
      <c r="S93" s="14">
        <v>53.39985947917085</v>
      </c>
      <c r="T93" s="204">
        <f t="shared" si="5"/>
        <v>60.028941244426299</v>
      </c>
      <c r="U93" s="204">
        <f t="shared" si="6"/>
        <v>487.43500290474151</v>
      </c>
      <c r="V93" s="204">
        <f t="shared" si="7"/>
        <v>458.62111110741688</v>
      </c>
      <c r="W93" s="204">
        <f t="shared" si="8"/>
        <v>325.95715095723477</v>
      </c>
      <c r="X93" s="201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203">
        <v>77.245517633652227</v>
      </c>
      <c r="S94" s="14">
        <v>53.942057689540938</v>
      </c>
      <c r="T94" s="204">
        <f t="shared" si="5"/>
        <v>60.635598277677921</v>
      </c>
      <c r="U94" s="204">
        <f t="shared" si="6"/>
        <v>492.36105801474469</v>
      </c>
      <c r="V94" s="204">
        <f t="shared" si="7"/>
        <v>463.25597084145932</v>
      </c>
      <c r="W94" s="204">
        <f t="shared" si="8"/>
        <v>329.25129864779109</v>
      </c>
      <c r="X94" s="201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203">
        <v>78.022342562427895</v>
      </c>
      <c r="S95" s="14">
        <v>54.484156480909952</v>
      </c>
      <c r="T95" s="204">
        <f t="shared" si="5"/>
        <v>61.241655604450784</v>
      </c>
      <c r="U95" s="204">
        <f t="shared" si="6"/>
        <v>497.28224350814031</v>
      </c>
      <c r="V95" s="204">
        <f t="shared" si="7"/>
        <v>467.88624881800399</v>
      </c>
      <c r="W95" s="204">
        <f t="shared" si="8"/>
        <v>332.54218993216773</v>
      </c>
      <c r="X95" s="201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203">
        <v>78.799044203363763</v>
      </c>
      <c r="S96" s="14">
        <v>55.026157169576244</v>
      </c>
      <c r="T96" s="204">
        <f t="shared" si="5"/>
        <v>61.847120326769669</v>
      </c>
      <c r="U96" s="204">
        <f t="shared" si="6"/>
        <v>502.19861705336967</v>
      </c>
      <c r="V96" s="204">
        <f t="shared" si="7"/>
        <v>472.51199929652023</v>
      </c>
      <c r="W96" s="204">
        <f t="shared" si="8"/>
        <v>335.82986337435926</v>
      </c>
      <c r="X96" s="201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203">
        <v>79.575624186899944</v>
      </c>
      <c r="S97" s="14">
        <v>55.568061037646871</v>
      </c>
      <c r="T97" s="204">
        <f t="shared" si="5"/>
        <v>62.451999387122903</v>
      </c>
      <c r="U97" s="204">
        <f t="shared" si="6"/>
        <v>507.11023502343795</v>
      </c>
      <c r="V97" s="204">
        <f t="shared" si="7"/>
        <v>477.13327531761894</v>
      </c>
      <c r="W97" s="204">
        <f t="shared" si="8"/>
        <v>339.11435667207735</v>
      </c>
      <c r="X97" s="201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203">
        <v>80.35208410097502</v>
      </c>
      <c r="S98" s="14">
        <v>56.109869334386886</v>
      </c>
      <c r="T98" s="204">
        <f t="shared" si="5"/>
        <v>63.05629957370445</v>
      </c>
      <c r="U98" s="204">
        <f t="shared" si="6"/>
        <v>512.0171525384801</v>
      </c>
      <c r="V98" s="204">
        <f t="shared" si="7"/>
        <v>481.75012874310198</v>
      </c>
      <c r="W98" s="204">
        <f t="shared" si="8"/>
        <v>342.39570668521515</v>
      </c>
      <c r="X98" s="201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203">
        <v>81.128425492709837</v>
      </c>
      <c r="S99" s="14">
        <v>56.651583277494979</v>
      </c>
      <c r="T99" s="204">
        <f t="shared" si="5"/>
        <v>63.660027525430337</v>
      </c>
      <c r="U99" s="204">
        <f t="shared" si="6"/>
        <v>516.91942350649424</v>
      </c>
      <c r="V99" s="204">
        <f t="shared" si="7"/>
        <v>486.36261029428778</v>
      </c>
      <c r="W99" s="204">
        <f t="shared" si="8"/>
        <v>345.67394946308673</v>
      </c>
      <c r="X99" s="201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203">
        <v>81.904649870005883</v>
      </c>
      <c r="S100" s="14">
        <v>57.19320405431526</v>
      </c>
      <c r="T100" s="204">
        <f t="shared" si="5"/>
        <v>64.263189736741936</v>
      </c>
      <c r="U100" s="204">
        <f t="shared" si="6"/>
        <v>521.8171006623445</v>
      </c>
      <c r="V100" s="204">
        <f t="shared" si="7"/>
        <v>490.97076958870838</v>
      </c>
      <c r="W100" s="204">
        <f t="shared" si="8"/>
        <v>348.94912027050867</v>
      </c>
      <c r="X100" s="201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203">
        <v>82.68075870305438</v>
      </c>
      <c r="S101" s="14">
        <v>57.73473282298292</v>
      </c>
      <c r="T101" s="204">
        <f t="shared" si="5"/>
        <v>64.865792562206337</v>
      </c>
      <c r="U101" s="204">
        <f t="shared" si="6"/>
        <v>526.71023560511537</v>
      </c>
      <c r="V101" s="204">
        <f t="shared" si="7"/>
        <v>495.5746551752564</v>
      </c>
      <c r="W101" s="204">
        <f t="shared" si="8"/>
        <v>352.2212536127804</v>
      </c>
      <c r="X101" s="201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203">
        <v>83.45675342577141</v>
      </c>
      <c r="S102" s="14">
        <v>58.276170713514595</v>
      </c>
      <c r="T102" s="204">
        <f t="shared" si="5"/>
        <v>65.467842220924794</v>
      </c>
      <c r="U102" s="204">
        <f t="shared" si="6"/>
        <v>531.59887883390923</v>
      </c>
      <c r="V102" s="204">
        <f t="shared" si="7"/>
        <v>500.17431456786539</v>
      </c>
      <c r="W102" s="204">
        <f t="shared" si="8"/>
        <v>355.49038325962164</v>
      </c>
      <c r="X102" s="201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203">
        <v>84.232635437156702</v>
      </c>
      <c r="S103" s="14">
        <v>58.817518828842111</v>
      </c>
      <c r="T103" s="204">
        <f t="shared" si="5"/>
        <v>66.069344800759623</v>
      </c>
      <c r="U103" s="204">
        <f t="shared" si="6"/>
        <v>536.48307978216803</v>
      </c>
      <c r="V103" s="204">
        <f t="shared" si="7"/>
        <v>504.7697942778035</v>
      </c>
      <c r="W103" s="204">
        <f t="shared" si="8"/>
        <v>358.75654226812475</v>
      </c>
      <c r="X103" s="201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203">
        <v>122.90664053598226</v>
      </c>
      <c r="S104" s="14">
        <v>85.789138405009467</v>
      </c>
      <c r="T104" s="204">
        <f t="shared" si="5"/>
        <v>95.552718143903505</v>
      </c>
      <c r="U104" s="204">
        <f t="shared" si="6"/>
        <v>775.88807132849638</v>
      </c>
      <c r="V104" s="204">
        <f t="shared" si="7"/>
        <v>730.02276661942278</v>
      </c>
      <c r="W104" s="204">
        <f t="shared" si="8"/>
        <v>518.85125952139606</v>
      </c>
      <c r="X104" s="201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203">
        <v>161.40365692597558</v>
      </c>
      <c r="S105" s="14">
        <v>112.61939538734573</v>
      </c>
      <c r="T105" s="204">
        <f t="shared" si="5"/>
        <v>124.14730493195626</v>
      </c>
      <c r="U105" s="204">
        <f t="shared" si="6"/>
        <v>1008.0761160474847</v>
      </c>
      <c r="V105" s="204">
        <f t="shared" si="7"/>
        <v>948.48540968014572</v>
      </c>
      <c r="W105" s="204">
        <f t="shared" si="8"/>
        <v>674.11986578052245</v>
      </c>
      <c r="X105" s="201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203">
        <v>199.7748925531053</v>
      </c>
      <c r="S106" s="14">
        <v>139.34909393187425</v>
      </c>
      <c r="T106" s="204">
        <f t="shared" si="5"/>
        <v>152.09866699982851</v>
      </c>
      <c r="U106" s="204">
        <f t="shared" si="6"/>
        <v>1235.0411760386073</v>
      </c>
      <c r="V106" s="204">
        <f t="shared" si="7"/>
        <v>1162.0338158786897</v>
      </c>
      <c r="W106" s="204">
        <f t="shared" si="8"/>
        <v>825.89576180906874</v>
      </c>
      <c r="X106" s="201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203">
        <v>238.04901635621272</v>
      </c>
      <c r="S107" s="14">
        <v>166.00112908277029</v>
      </c>
      <c r="T107" s="204">
        <f t="shared" si="5"/>
        <v>179.54790489086352</v>
      </c>
      <c r="U107" s="204">
        <f t="shared" si="6"/>
        <v>1457.9289877138117</v>
      </c>
      <c r="V107" s="204">
        <f t="shared" si="7"/>
        <v>1371.7459933661974</v>
      </c>
      <c r="W107" s="204">
        <f t="shared" si="8"/>
        <v>974.94512355738891</v>
      </c>
      <c r="X107" s="201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203">
        <v>276.2443600274384</v>
      </c>
      <c r="S108" s="14">
        <v>192.59015243946592</v>
      </c>
      <c r="T108" s="204">
        <f t="shared" si="5"/>
        <v>206.5864916722183</v>
      </c>
      <c r="U108" s="204">
        <f t="shared" si="6"/>
        <v>1677.4823123784124</v>
      </c>
      <c r="V108" s="204">
        <f t="shared" si="7"/>
        <v>1578.3207963757477</v>
      </c>
      <c r="W108" s="204">
        <f t="shared" si="8"/>
        <v>1121.7646497801454</v>
      </c>
      <c r="X108" s="201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cp:lastPrinted>2019-05-21T15:04:50Z</cp:lastPrinted>
  <dcterms:created xsi:type="dcterms:W3CDTF">2018-08-22T16:08:20Z</dcterms:created>
  <dcterms:modified xsi:type="dcterms:W3CDTF">2019-05-21T15:05:12Z</dcterms:modified>
</cp:coreProperties>
</file>